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josh.crossman/Downloads/"/>
    </mc:Choice>
  </mc:AlternateContent>
  <xr:revisionPtr revIDLastSave="0" documentId="13_ncr:1_{1214DCFC-240F-DF49-B304-207530078A0D}" xr6:coauthVersionLast="47" xr6:coauthVersionMax="47" xr10:uidLastSave="{00000000-0000-0000-0000-000000000000}"/>
  <bookViews>
    <workbookView xWindow="-36520" yWindow="-6740" windowWidth="36520" windowHeight="19700" xr2:uid="{00000000-000D-0000-FFFF-FFFF00000000}"/>
  </bookViews>
  <sheets>
    <sheet name="Curriculum Map (KS4)" sheetId="4" r:id="rId1"/>
    <sheet name="KS4 (GCSE Units)" sheetId="9" r:id="rId2"/>
    <sheet name="KS4 (GCSE Specs)" sheetId="10" r:id="rId3"/>
    <sheet name="KS1 (1)" sheetId="11" state="hidden" r:id="rId4"/>
    <sheet name="KS2 (1)" sheetId="12" state="hidden" r:id="rId5"/>
    <sheet name="KS3 (1)" sheetId="13" state="hidden" r:id="rId6"/>
    <sheet name="KS4" sheetId="14" state="hidden" r:id="rId7"/>
    <sheet name="GCSE" sheetId="15" state="hidden" r:id="rId8"/>
  </sheets>
  <definedNames>
    <definedName name="_xlnm._FilterDatabase" localSheetId="2" hidden="1">'KS4 (GCSE Specs)'!$A$2:$W$383</definedName>
    <definedName name="_xlnm._FilterDatabase" localSheetId="1" hidden="1">'KS4 (GCSE Units)'!$A$1:$W$366</definedName>
  </definedNames>
  <calcPr calcId="191029"/>
  <customWorkbookViews>
    <customWorkbookView name="KS1" guid="{A599AFB7-4909-43CA-8768-CF0B44B3D0C2}"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 i="10" l="1"/>
  <c r="E325" i="15"/>
  <c r="E324" i="15"/>
  <c r="E323" i="15"/>
  <c r="E322" i="15"/>
  <c r="E321" i="15"/>
  <c r="E320" i="15"/>
  <c r="E319" i="15"/>
  <c r="E318" i="15"/>
  <c r="E317" i="15"/>
  <c r="E316" i="15"/>
  <c r="E315" i="15"/>
  <c r="E314" i="15"/>
  <c r="E313" i="15"/>
  <c r="E312" i="15"/>
  <c r="E311" i="15"/>
  <c r="E310" i="15"/>
  <c r="E309" i="15"/>
  <c r="E308" i="15"/>
  <c r="E307" i="15"/>
  <c r="E306" i="15"/>
  <c r="E305" i="15"/>
  <c r="E304" i="15"/>
  <c r="E303" i="15"/>
  <c r="E302" i="15"/>
  <c r="E301" i="15"/>
  <c r="E300" i="15"/>
  <c r="E299" i="15"/>
  <c r="E298" i="15"/>
  <c r="E297" i="15"/>
  <c r="E296" i="15"/>
  <c r="E295" i="15"/>
  <c r="E294" i="15"/>
  <c r="E293" i="15"/>
  <c r="E292" i="15"/>
  <c r="E291" i="15"/>
  <c r="E290" i="15"/>
  <c r="E289" i="15"/>
  <c r="E288" i="15"/>
  <c r="E287" i="15"/>
  <c r="E286" i="15"/>
  <c r="E285" i="15"/>
  <c r="E284" i="15"/>
  <c r="E283" i="15"/>
  <c r="E282" i="15"/>
  <c r="E281" i="15"/>
  <c r="E280" i="15"/>
  <c r="E279" i="15"/>
  <c r="E278" i="15"/>
  <c r="E277" i="15"/>
  <c r="E276" i="15"/>
  <c r="E275" i="15"/>
  <c r="E274" i="15"/>
  <c r="E273" i="15"/>
  <c r="E272" i="15"/>
  <c r="E271" i="15"/>
  <c r="E270" i="15"/>
  <c r="E269" i="15"/>
  <c r="E268" i="15"/>
  <c r="E267" i="15"/>
  <c r="E266" i="15"/>
  <c r="E265" i="15"/>
  <c r="E264" i="15"/>
  <c r="E263" i="15"/>
  <c r="E262" i="15"/>
  <c r="E261" i="15"/>
  <c r="E260" i="15"/>
  <c r="E259" i="15"/>
  <c r="E258" i="15"/>
  <c r="E257" i="15"/>
  <c r="E256" i="15"/>
  <c r="E255" i="15"/>
  <c r="E254" i="15"/>
  <c r="E253" i="15"/>
  <c r="E252" i="15"/>
  <c r="E251" i="15"/>
  <c r="E250" i="15"/>
  <c r="E249" i="15"/>
  <c r="E248" i="15"/>
  <c r="E247" i="15"/>
  <c r="E246" i="15"/>
  <c r="E245" i="15"/>
  <c r="E244" i="15"/>
  <c r="E243" i="15"/>
  <c r="E242" i="15"/>
  <c r="E241" i="15"/>
  <c r="E240" i="15"/>
  <c r="E239" i="15"/>
  <c r="E238" i="15"/>
  <c r="E237" i="15"/>
  <c r="E236" i="15"/>
  <c r="E235" i="15"/>
  <c r="E234" i="15"/>
  <c r="E233" i="15"/>
  <c r="E232" i="15"/>
  <c r="E231" i="15"/>
  <c r="E230" i="15"/>
  <c r="E229" i="15"/>
  <c r="E228" i="15"/>
  <c r="E227" i="15"/>
  <c r="E226" i="15"/>
  <c r="E225" i="15"/>
  <c r="E224" i="15"/>
  <c r="E223" i="15"/>
  <c r="E222" i="15"/>
  <c r="E221" i="15"/>
  <c r="E220" i="15"/>
  <c r="E219" i="15"/>
  <c r="E218" i="15"/>
  <c r="E217" i="15"/>
  <c r="E216" i="15"/>
  <c r="E215" i="15"/>
  <c r="E214" i="15"/>
  <c r="E213" i="15"/>
  <c r="E212" i="15"/>
  <c r="E211" i="15"/>
  <c r="E210" i="15"/>
  <c r="E209" i="15"/>
  <c r="E208" i="15"/>
  <c r="E207" i="15"/>
  <c r="E206" i="15"/>
  <c r="E205" i="15"/>
  <c r="E204" i="15"/>
  <c r="E203" i="15"/>
  <c r="E202" i="15"/>
  <c r="E201" i="15"/>
  <c r="E200" i="15"/>
  <c r="E199" i="15"/>
  <c r="E198" i="15"/>
  <c r="E197" i="15"/>
  <c r="E196" i="15"/>
  <c r="E195" i="15"/>
  <c r="E194" i="15"/>
  <c r="E193" i="15"/>
  <c r="E192" i="15"/>
  <c r="E191" i="15"/>
  <c r="E190" i="15"/>
  <c r="E189" i="15"/>
  <c r="E188" i="15"/>
  <c r="E187" i="15"/>
  <c r="E186" i="15"/>
  <c r="E185" i="15"/>
  <c r="E184" i="15"/>
  <c r="E183" i="15"/>
  <c r="E182" i="15"/>
  <c r="E181" i="15"/>
  <c r="E180" i="15"/>
  <c r="E179" i="15"/>
  <c r="E178" i="15"/>
  <c r="E177" i="15"/>
  <c r="E176" i="15"/>
  <c r="E175" i="15"/>
  <c r="E174" i="15"/>
  <c r="E173" i="15"/>
  <c r="E172" i="15"/>
  <c r="E171" i="15"/>
  <c r="E170" i="15"/>
  <c r="E169" i="15"/>
  <c r="E168" i="15"/>
  <c r="E167" i="15"/>
  <c r="E166" i="15"/>
  <c r="E165" i="15"/>
  <c r="E164" i="15"/>
  <c r="E163" i="15"/>
  <c r="E162" i="15"/>
  <c r="E161" i="15"/>
  <c r="E160" i="15"/>
  <c r="E159" i="15"/>
  <c r="E158" i="15"/>
  <c r="E157" i="15"/>
  <c r="E156" i="15"/>
  <c r="E155" i="15"/>
  <c r="E154" i="15"/>
  <c r="E153" i="15"/>
  <c r="E152" i="15"/>
  <c r="E151" i="15"/>
  <c r="E150" i="15"/>
  <c r="E149" i="15"/>
  <c r="E148" i="15"/>
  <c r="E147" i="15"/>
  <c r="E146" i="15"/>
  <c r="E145" i="15"/>
  <c r="E144" i="15"/>
  <c r="E143" i="15"/>
  <c r="E142" i="15"/>
  <c r="E141" i="15"/>
  <c r="E140" i="15"/>
  <c r="E139" i="15"/>
  <c r="E138" i="15"/>
  <c r="E137" i="15"/>
  <c r="E136" i="15"/>
  <c r="E135" i="15"/>
  <c r="E134" i="15"/>
  <c r="E133" i="15"/>
  <c r="E132" i="15"/>
  <c r="E131" i="15"/>
  <c r="E130" i="15"/>
  <c r="E129" i="15"/>
  <c r="E128" i="15"/>
  <c r="E127" i="15"/>
  <c r="E126" i="15"/>
  <c r="E125" i="15"/>
  <c r="E124" i="15"/>
  <c r="E123" i="15"/>
  <c r="E122" i="15"/>
  <c r="E121" i="15"/>
  <c r="E120" i="15"/>
  <c r="E119" i="15"/>
  <c r="E118" i="15"/>
  <c r="E117" i="15"/>
  <c r="E116" i="15"/>
  <c r="E115" i="15"/>
  <c r="E114" i="15"/>
  <c r="E113" i="15"/>
  <c r="E112" i="15"/>
  <c r="E111" i="15"/>
  <c r="E110" i="15"/>
  <c r="E109" i="15"/>
  <c r="E108" i="15"/>
  <c r="E107" i="15"/>
  <c r="E106" i="15"/>
  <c r="E105" i="15"/>
  <c r="E104" i="15"/>
  <c r="E103" i="15"/>
  <c r="E102" i="15"/>
  <c r="E101" i="15"/>
  <c r="E100" i="15"/>
  <c r="E99" i="15"/>
  <c r="E98" i="15"/>
  <c r="E97" i="15"/>
  <c r="E96" i="15"/>
  <c r="E95" i="15"/>
  <c r="E94" i="15"/>
  <c r="E93" i="15"/>
  <c r="E92" i="15"/>
  <c r="E91" i="15"/>
  <c r="E90" i="15"/>
  <c r="E89" i="15"/>
  <c r="E88" i="15"/>
  <c r="E87" i="15"/>
  <c r="E86" i="15"/>
  <c r="E85" i="15"/>
  <c r="E84" i="15"/>
  <c r="E83" i="15"/>
  <c r="E82" i="15"/>
  <c r="E81" i="15"/>
  <c r="E80" i="15"/>
  <c r="E79" i="15"/>
  <c r="E78" i="15"/>
  <c r="E77" i="15"/>
  <c r="E76" i="15"/>
  <c r="E75" i="15"/>
  <c r="E74" i="15"/>
  <c r="E73" i="15"/>
  <c r="E72" i="15"/>
  <c r="E71" i="15"/>
  <c r="E70" i="15"/>
  <c r="E69" i="15"/>
  <c r="E68" i="15"/>
  <c r="E67" i="15"/>
  <c r="E66" i="15"/>
  <c r="E65" i="15"/>
  <c r="E64" i="15"/>
  <c r="E63" i="15"/>
  <c r="E62" i="15"/>
  <c r="E61" i="15"/>
  <c r="E60" i="15"/>
  <c r="E59" i="15"/>
  <c r="E58" i="15"/>
  <c r="E57" i="15"/>
  <c r="E56" i="15"/>
  <c r="E55" i="15"/>
  <c r="E54" i="15"/>
  <c r="E53" i="15"/>
  <c r="E52" i="15"/>
  <c r="E51" i="15"/>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E4" i="15"/>
  <c r="E3" i="15"/>
  <c r="E2" i="15"/>
  <c r="D129" i="14"/>
  <c r="D128" i="14"/>
  <c r="D127" i="14"/>
  <c r="D126" i="14"/>
  <c r="D125" i="14"/>
  <c r="D124" i="14"/>
  <c r="D123" i="14"/>
  <c r="D122" i="14"/>
  <c r="D121" i="14"/>
  <c r="D120" i="14"/>
  <c r="D119" i="14"/>
  <c r="D118" i="14"/>
  <c r="D117" i="14"/>
  <c r="D116" i="14"/>
  <c r="D115" i="14"/>
  <c r="D114" i="14"/>
  <c r="D113" i="14"/>
  <c r="D112" i="14"/>
  <c r="D111" i="14"/>
  <c r="D110" i="14"/>
  <c r="D109" i="14"/>
  <c r="D108" i="14"/>
  <c r="D107" i="14"/>
  <c r="D106" i="14"/>
  <c r="D105" i="14"/>
  <c r="D104" i="14"/>
  <c r="D103" i="14"/>
  <c r="D102" i="14"/>
  <c r="D101" i="14"/>
  <c r="D100" i="14"/>
  <c r="D99" i="14"/>
  <c r="D98" i="14"/>
  <c r="D97" i="14"/>
  <c r="D96" i="14"/>
  <c r="D95" i="14"/>
  <c r="D94" i="14"/>
  <c r="D93" i="14"/>
  <c r="D92" i="14"/>
  <c r="D91" i="14"/>
  <c r="D90" i="14"/>
  <c r="D89" i="14"/>
  <c r="D88" i="14"/>
  <c r="D87" i="14"/>
  <c r="D86" i="14"/>
  <c r="D85" i="14"/>
  <c r="D84" i="14"/>
  <c r="D83" i="14"/>
  <c r="D82" i="14"/>
  <c r="D81" i="14"/>
  <c r="D80" i="14"/>
  <c r="D79" i="14"/>
  <c r="D78" i="14"/>
  <c r="D77" i="14"/>
  <c r="D76" i="14"/>
  <c r="D75" i="14"/>
  <c r="D74" i="14"/>
  <c r="D73" i="14"/>
  <c r="D72" i="14"/>
  <c r="D71" i="14"/>
  <c r="D70" i="14"/>
  <c r="D69" i="14"/>
  <c r="D68" i="14"/>
  <c r="D67" i="14"/>
  <c r="D66" i="14"/>
  <c r="D65" i="14"/>
  <c r="D64" i="14"/>
  <c r="D63" i="14"/>
  <c r="D62" i="14"/>
  <c r="D61" i="14"/>
  <c r="D60" i="14"/>
  <c r="D59" i="14"/>
  <c r="D58" i="14"/>
  <c r="D57" i="14"/>
  <c r="D56" i="14"/>
  <c r="D55" i="14"/>
  <c r="D54" i="14"/>
  <c r="D53"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D4" i="14"/>
  <c r="D3" i="14"/>
  <c r="D2" i="14"/>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E3" i="13"/>
  <c r="E2" i="13"/>
  <c r="W383" i="10"/>
  <c r="V383" i="10"/>
  <c r="U383" i="10"/>
  <c r="T383" i="10"/>
  <c r="S383" i="10"/>
  <c r="R383" i="10"/>
  <c r="Q383" i="10"/>
  <c r="P383" i="10"/>
  <c r="O383" i="10"/>
  <c r="N383" i="10"/>
  <c r="M383" i="10"/>
  <c r="L383" i="10"/>
  <c r="K383" i="10"/>
  <c r="J383" i="10"/>
  <c r="I383" i="10"/>
  <c r="H383" i="10"/>
  <c r="W382" i="10"/>
  <c r="V382" i="10"/>
  <c r="U382" i="10"/>
  <c r="T382" i="10"/>
  <c r="S382" i="10"/>
  <c r="R382" i="10"/>
  <c r="Q382" i="10"/>
  <c r="P382" i="10"/>
  <c r="O382" i="10"/>
  <c r="N382" i="10"/>
  <c r="M382" i="10"/>
  <c r="L382" i="10"/>
  <c r="K382" i="10"/>
  <c r="J382" i="10"/>
  <c r="I382" i="10"/>
  <c r="H382" i="10"/>
  <c r="W381" i="10"/>
  <c r="V381" i="10"/>
  <c r="U381" i="10"/>
  <c r="T381" i="10"/>
  <c r="S381" i="10"/>
  <c r="R381" i="10"/>
  <c r="Q381" i="10"/>
  <c r="P381" i="10"/>
  <c r="O381" i="10"/>
  <c r="N381" i="10"/>
  <c r="M381" i="10"/>
  <c r="L381" i="10"/>
  <c r="K381" i="10"/>
  <c r="J381" i="10"/>
  <c r="I381" i="10"/>
  <c r="H381" i="10"/>
  <c r="W380" i="10"/>
  <c r="V380" i="10"/>
  <c r="U380" i="10"/>
  <c r="T380" i="10"/>
  <c r="S380" i="10"/>
  <c r="R380" i="10"/>
  <c r="Q380" i="10"/>
  <c r="P380" i="10"/>
  <c r="O380" i="10"/>
  <c r="N380" i="10"/>
  <c r="M380" i="10"/>
  <c r="L380" i="10"/>
  <c r="K380" i="10"/>
  <c r="J380" i="10"/>
  <c r="I380" i="10"/>
  <c r="H380" i="10"/>
  <c r="W379" i="10"/>
  <c r="V379" i="10"/>
  <c r="U379" i="10"/>
  <c r="T379" i="10"/>
  <c r="S379" i="10"/>
  <c r="R379" i="10"/>
  <c r="Q379" i="10"/>
  <c r="P379" i="10"/>
  <c r="O379" i="10"/>
  <c r="N379" i="10"/>
  <c r="M379" i="10"/>
  <c r="L379" i="10"/>
  <c r="K379" i="10"/>
  <c r="J379" i="10"/>
  <c r="I379" i="10"/>
  <c r="H379" i="10"/>
  <c r="W378" i="10"/>
  <c r="V378" i="10"/>
  <c r="U378" i="10"/>
  <c r="T378" i="10"/>
  <c r="S378" i="10"/>
  <c r="R378" i="10"/>
  <c r="Q378" i="10"/>
  <c r="P378" i="10"/>
  <c r="O378" i="10"/>
  <c r="N378" i="10"/>
  <c r="M378" i="10"/>
  <c r="L378" i="10"/>
  <c r="K378" i="10"/>
  <c r="J378" i="10"/>
  <c r="I378" i="10"/>
  <c r="H378" i="10"/>
  <c r="W377" i="10"/>
  <c r="V377" i="10"/>
  <c r="U377" i="10"/>
  <c r="T377" i="10"/>
  <c r="S377" i="10"/>
  <c r="R377" i="10"/>
  <c r="Q377" i="10"/>
  <c r="P377" i="10"/>
  <c r="O377" i="10"/>
  <c r="N377" i="10"/>
  <c r="M377" i="10"/>
  <c r="L377" i="10"/>
  <c r="K377" i="10"/>
  <c r="J377" i="10"/>
  <c r="I377" i="10"/>
  <c r="H377" i="10"/>
  <c r="W376" i="10"/>
  <c r="V376" i="10"/>
  <c r="U376" i="10"/>
  <c r="T376" i="10"/>
  <c r="S376" i="10"/>
  <c r="R376" i="10"/>
  <c r="Q376" i="10"/>
  <c r="P376" i="10"/>
  <c r="O376" i="10"/>
  <c r="N376" i="10"/>
  <c r="M376" i="10"/>
  <c r="L376" i="10"/>
  <c r="K376" i="10"/>
  <c r="J376" i="10"/>
  <c r="I376" i="10"/>
  <c r="H376" i="10"/>
  <c r="W375" i="10"/>
  <c r="V375" i="10"/>
  <c r="U375" i="10"/>
  <c r="T375" i="10"/>
  <c r="S375" i="10"/>
  <c r="R375" i="10"/>
  <c r="Q375" i="10"/>
  <c r="P375" i="10"/>
  <c r="O375" i="10"/>
  <c r="N375" i="10"/>
  <c r="M375" i="10"/>
  <c r="L375" i="10"/>
  <c r="K375" i="10"/>
  <c r="J375" i="10"/>
  <c r="I375" i="10"/>
  <c r="H375" i="10"/>
  <c r="W374" i="10"/>
  <c r="V374" i="10"/>
  <c r="U374" i="10"/>
  <c r="T374" i="10"/>
  <c r="S374" i="10"/>
  <c r="R374" i="10"/>
  <c r="Q374" i="10"/>
  <c r="P374" i="10"/>
  <c r="O374" i="10"/>
  <c r="N374" i="10"/>
  <c r="M374" i="10"/>
  <c r="L374" i="10"/>
  <c r="K374" i="10"/>
  <c r="J374" i="10"/>
  <c r="I374" i="10"/>
  <c r="H374" i="10"/>
  <c r="W373" i="10"/>
  <c r="V373" i="10"/>
  <c r="U373" i="10"/>
  <c r="T373" i="10"/>
  <c r="S373" i="10"/>
  <c r="R373" i="10"/>
  <c r="Q373" i="10"/>
  <c r="P373" i="10"/>
  <c r="O373" i="10"/>
  <c r="N373" i="10"/>
  <c r="M373" i="10"/>
  <c r="L373" i="10"/>
  <c r="K373" i="10"/>
  <c r="J373" i="10"/>
  <c r="I373" i="10"/>
  <c r="H373" i="10"/>
  <c r="W372" i="10"/>
  <c r="V372" i="10"/>
  <c r="U372" i="10"/>
  <c r="T372" i="10"/>
  <c r="S372" i="10"/>
  <c r="R372" i="10"/>
  <c r="Q372" i="10"/>
  <c r="P372" i="10"/>
  <c r="O372" i="10"/>
  <c r="N372" i="10"/>
  <c r="M372" i="10"/>
  <c r="L372" i="10"/>
  <c r="K372" i="10"/>
  <c r="J372" i="10"/>
  <c r="I372" i="10"/>
  <c r="H372" i="10"/>
  <c r="W371" i="10"/>
  <c r="V371" i="10"/>
  <c r="U371" i="10"/>
  <c r="T371" i="10"/>
  <c r="S371" i="10"/>
  <c r="R371" i="10"/>
  <c r="Q371" i="10"/>
  <c r="P371" i="10"/>
  <c r="O371" i="10"/>
  <c r="N371" i="10"/>
  <c r="M371" i="10"/>
  <c r="L371" i="10"/>
  <c r="K371" i="10"/>
  <c r="J371" i="10"/>
  <c r="I371" i="10"/>
  <c r="H371" i="10"/>
  <c r="W370" i="10"/>
  <c r="V370" i="10"/>
  <c r="U370" i="10"/>
  <c r="T370" i="10"/>
  <c r="S370" i="10"/>
  <c r="R370" i="10"/>
  <c r="Q370" i="10"/>
  <c r="P370" i="10"/>
  <c r="O370" i="10"/>
  <c r="N370" i="10"/>
  <c r="M370" i="10"/>
  <c r="L370" i="10"/>
  <c r="K370" i="10"/>
  <c r="J370" i="10"/>
  <c r="I370" i="10"/>
  <c r="H370" i="10"/>
  <c r="W369" i="10"/>
  <c r="V369" i="10"/>
  <c r="U369" i="10"/>
  <c r="T369" i="10"/>
  <c r="S369" i="10"/>
  <c r="R369" i="10"/>
  <c r="Q369" i="10"/>
  <c r="P369" i="10"/>
  <c r="O369" i="10"/>
  <c r="N369" i="10"/>
  <c r="M369" i="10"/>
  <c r="L369" i="10"/>
  <c r="K369" i="10"/>
  <c r="J369" i="10"/>
  <c r="I369" i="10"/>
  <c r="H369" i="10"/>
  <c r="W368" i="10"/>
  <c r="V368" i="10"/>
  <c r="U368" i="10"/>
  <c r="T368" i="10"/>
  <c r="S368" i="10"/>
  <c r="R368" i="10"/>
  <c r="Q368" i="10"/>
  <c r="P368" i="10"/>
  <c r="O368" i="10"/>
  <c r="N368" i="10"/>
  <c r="M368" i="10"/>
  <c r="L368" i="10"/>
  <c r="K368" i="10"/>
  <c r="J368" i="10"/>
  <c r="I368" i="10"/>
  <c r="H368" i="10"/>
  <c r="W367" i="10"/>
  <c r="V367" i="10"/>
  <c r="U367" i="10"/>
  <c r="T367" i="10"/>
  <c r="S367" i="10"/>
  <c r="R367" i="10"/>
  <c r="Q367" i="10"/>
  <c r="P367" i="10"/>
  <c r="O367" i="10"/>
  <c r="N367" i="10"/>
  <c r="M367" i="10"/>
  <c r="L367" i="10"/>
  <c r="K367" i="10"/>
  <c r="J367" i="10"/>
  <c r="I367" i="10"/>
  <c r="H367" i="10"/>
  <c r="W366" i="10"/>
  <c r="V366" i="10"/>
  <c r="U366" i="10"/>
  <c r="T366" i="10"/>
  <c r="S366" i="10"/>
  <c r="R366" i="10"/>
  <c r="Q366" i="10"/>
  <c r="P366" i="10"/>
  <c r="O366" i="10"/>
  <c r="N366" i="10"/>
  <c r="M366" i="10"/>
  <c r="L366" i="10"/>
  <c r="K366" i="10"/>
  <c r="J366" i="10"/>
  <c r="I366" i="10"/>
  <c r="H366" i="10"/>
  <c r="W365" i="10"/>
  <c r="V365" i="10"/>
  <c r="U365" i="10"/>
  <c r="T365" i="10"/>
  <c r="S365" i="10"/>
  <c r="R365" i="10"/>
  <c r="Q365" i="10"/>
  <c r="P365" i="10"/>
  <c r="O365" i="10"/>
  <c r="N365" i="10"/>
  <c r="M365" i="10"/>
  <c r="L365" i="10"/>
  <c r="K365" i="10"/>
  <c r="J365" i="10"/>
  <c r="I365" i="10"/>
  <c r="H365" i="10"/>
  <c r="W364" i="10"/>
  <c r="V364" i="10"/>
  <c r="U364" i="10"/>
  <c r="T364" i="10"/>
  <c r="S364" i="10"/>
  <c r="R364" i="10"/>
  <c r="Q364" i="10"/>
  <c r="P364" i="10"/>
  <c r="O364" i="10"/>
  <c r="N364" i="10"/>
  <c r="M364" i="10"/>
  <c r="L364" i="10"/>
  <c r="K364" i="10"/>
  <c r="J364" i="10"/>
  <c r="I364" i="10"/>
  <c r="H364" i="10"/>
  <c r="W363" i="10"/>
  <c r="V363" i="10"/>
  <c r="U363" i="10"/>
  <c r="T363" i="10"/>
  <c r="S363" i="10"/>
  <c r="R363" i="10"/>
  <c r="Q363" i="10"/>
  <c r="P363" i="10"/>
  <c r="O363" i="10"/>
  <c r="N363" i="10"/>
  <c r="M363" i="10"/>
  <c r="L363" i="10"/>
  <c r="K363" i="10"/>
  <c r="J363" i="10"/>
  <c r="I363" i="10"/>
  <c r="H363" i="10"/>
  <c r="W362" i="10"/>
  <c r="V362" i="10"/>
  <c r="U362" i="10"/>
  <c r="T362" i="10"/>
  <c r="S362" i="10"/>
  <c r="R362" i="10"/>
  <c r="Q362" i="10"/>
  <c r="P362" i="10"/>
  <c r="O362" i="10"/>
  <c r="N362" i="10"/>
  <c r="M362" i="10"/>
  <c r="L362" i="10"/>
  <c r="K362" i="10"/>
  <c r="J362" i="10"/>
  <c r="I362" i="10"/>
  <c r="H362" i="10"/>
  <c r="W361" i="10"/>
  <c r="V361" i="10"/>
  <c r="U361" i="10"/>
  <c r="T361" i="10"/>
  <c r="S361" i="10"/>
  <c r="R361" i="10"/>
  <c r="Q361" i="10"/>
  <c r="P361" i="10"/>
  <c r="O361" i="10"/>
  <c r="N361" i="10"/>
  <c r="M361" i="10"/>
  <c r="L361" i="10"/>
  <c r="K361" i="10"/>
  <c r="J361" i="10"/>
  <c r="I361" i="10"/>
  <c r="H361" i="10"/>
  <c r="W360" i="10"/>
  <c r="V360" i="10"/>
  <c r="U360" i="10"/>
  <c r="T360" i="10"/>
  <c r="S360" i="10"/>
  <c r="R360" i="10"/>
  <c r="Q360" i="10"/>
  <c r="P360" i="10"/>
  <c r="O360" i="10"/>
  <c r="N360" i="10"/>
  <c r="M360" i="10"/>
  <c r="L360" i="10"/>
  <c r="K360" i="10"/>
  <c r="J360" i="10"/>
  <c r="I360" i="10"/>
  <c r="H360" i="10"/>
  <c r="W359" i="10"/>
  <c r="V359" i="10"/>
  <c r="U359" i="10"/>
  <c r="T359" i="10"/>
  <c r="S359" i="10"/>
  <c r="R359" i="10"/>
  <c r="Q359" i="10"/>
  <c r="P359" i="10"/>
  <c r="O359" i="10"/>
  <c r="N359" i="10"/>
  <c r="M359" i="10"/>
  <c r="L359" i="10"/>
  <c r="K359" i="10"/>
  <c r="J359" i="10"/>
  <c r="I359" i="10"/>
  <c r="H359" i="10"/>
  <c r="W358" i="10"/>
  <c r="V358" i="10"/>
  <c r="U358" i="10"/>
  <c r="T358" i="10"/>
  <c r="S358" i="10"/>
  <c r="R358" i="10"/>
  <c r="Q358" i="10"/>
  <c r="P358" i="10"/>
  <c r="O358" i="10"/>
  <c r="N358" i="10"/>
  <c r="M358" i="10"/>
  <c r="L358" i="10"/>
  <c r="K358" i="10"/>
  <c r="J358" i="10"/>
  <c r="I358" i="10"/>
  <c r="H358" i="10"/>
  <c r="W357" i="10"/>
  <c r="V357" i="10"/>
  <c r="U357" i="10"/>
  <c r="T357" i="10"/>
  <c r="S357" i="10"/>
  <c r="R357" i="10"/>
  <c r="Q357" i="10"/>
  <c r="P357" i="10"/>
  <c r="O357" i="10"/>
  <c r="N357" i="10"/>
  <c r="M357" i="10"/>
  <c r="L357" i="10"/>
  <c r="K357" i="10"/>
  <c r="J357" i="10"/>
  <c r="I357" i="10"/>
  <c r="H357" i="10"/>
  <c r="W356" i="10"/>
  <c r="V356" i="10"/>
  <c r="U356" i="10"/>
  <c r="T356" i="10"/>
  <c r="S356" i="10"/>
  <c r="R356" i="10"/>
  <c r="Q356" i="10"/>
  <c r="P356" i="10"/>
  <c r="O356" i="10"/>
  <c r="N356" i="10"/>
  <c r="M356" i="10"/>
  <c r="L356" i="10"/>
  <c r="K356" i="10"/>
  <c r="J356" i="10"/>
  <c r="I356" i="10"/>
  <c r="H356" i="10"/>
  <c r="W355" i="10"/>
  <c r="V355" i="10"/>
  <c r="U355" i="10"/>
  <c r="T355" i="10"/>
  <c r="S355" i="10"/>
  <c r="R355" i="10"/>
  <c r="Q355" i="10"/>
  <c r="P355" i="10"/>
  <c r="O355" i="10"/>
  <c r="N355" i="10"/>
  <c r="M355" i="10"/>
  <c r="L355" i="10"/>
  <c r="K355" i="10"/>
  <c r="J355" i="10"/>
  <c r="I355" i="10"/>
  <c r="H355" i="10"/>
  <c r="W354" i="10"/>
  <c r="V354" i="10"/>
  <c r="U354" i="10"/>
  <c r="T354" i="10"/>
  <c r="S354" i="10"/>
  <c r="R354" i="10"/>
  <c r="Q354" i="10"/>
  <c r="P354" i="10"/>
  <c r="O354" i="10"/>
  <c r="N354" i="10"/>
  <c r="M354" i="10"/>
  <c r="L354" i="10"/>
  <c r="K354" i="10"/>
  <c r="J354" i="10"/>
  <c r="I354" i="10"/>
  <c r="H354" i="10"/>
  <c r="W353" i="10"/>
  <c r="V353" i="10"/>
  <c r="U353" i="10"/>
  <c r="T353" i="10"/>
  <c r="S353" i="10"/>
  <c r="R353" i="10"/>
  <c r="Q353" i="10"/>
  <c r="P353" i="10"/>
  <c r="O353" i="10"/>
  <c r="N353" i="10"/>
  <c r="M353" i="10"/>
  <c r="L353" i="10"/>
  <c r="K353" i="10"/>
  <c r="J353" i="10"/>
  <c r="I353" i="10"/>
  <c r="H353" i="10"/>
  <c r="W352" i="10"/>
  <c r="V352" i="10"/>
  <c r="U352" i="10"/>
  <c r="T352" i="10"/>
  <c r="S352" i="10"/>
  <c r="R352" i="10"/>
  <c r="Q352" i="10"/>
  <c r="P352" i="10"/>
  <c r="O352" i="10"/>
  <c r="N352" i="10"/>
  <c r="M352" i="10"/>
  <c r="L352" i="10"/>
  <c r="K352" i="10"/>
  <c r="J352" i="10"/>
  <c r="I352" i="10"/>
  <c r="H352" i="10"/>
  <c r="W351" i="10"/>
  <c r="V351" i="10"/>
  <c r="U351" i="10"/>
  <c r="T351" i="10"/>
  <c r="S351" i="10"/>
  <c r="R351" i="10"/>
  <c r="Q351" i="10"/>
  <c r="P351" i="10"/>
  <c r="O351" i="10"/>
  <c r="N351" i="10"/>
  <c r="M351" i="10"/>
  <c r="L351" i="10"/>
  <c r="K351" i="10"/>
  <c r="J351" i="10"/>
  <c r="I351" i="10"/>
  <c r="H351" i="10"/>
  <c r="W350" i="10"/>
  <c r="V350" i="10"/>
  <c r="U350" i="10"/>
  <c r="T350" i="10"/>
  <c r="S350" i="10"/>
  <c r="R350" i="10"/>
  <c r="Q350" i="10"/>
  <c r="P350" i="10"/>
  <c r="O350" i="10"/>
  <c r="N350" i="10"/>
  <c r="M350" i="10"/>
  <c r="L350" i="10"/>
  <c r="K350" i="10"/>
  <c r="J350" i="10"/>
  <c r="I350" i="10"/>
  <c r="H350" i="10"/>
  <c r="W349" i="10"/>
  <c r="V349" i="10"/>
  <c r="U349" i="10"/>
  <c r="T349" i="10"/>
  <c r="S349" i="10"/>
  <c r="R349" i="10"/>
  <c r="Q349" i="10"/>
  <c r="P349" i="10"/>
  <c r="O349" i="10"/>
  <c r="N349" i="10"/>
  <c r="M349" i="10"/>
  <c r="L349" i="10"/>
  <c r="K349" i="10"/>
  <c r="J349" i="10"/>
  <c r="I349" i="10"/>
  <c r="H349" i="10"/>
  <c r="W348" i="10"/>
  <c r="V348" i="10"/>
  <c r="U348" i="10"/>
  <c r="T348" i="10"/>
  <c r="S348" i="10"/>
  <c r="R348" i="10"/>
  <c r="Q348" i="10"/>
  <c r="P348" i="10"/>
  <c r="O348" i="10"/>
  <c r="N348" i="10"/>
  <c r="M348" i="10"/>
  <c r="L348" i="10"/>
  <c r="K348" i="10"/>
  <c r="J348" i="10"/>
  <c r="I348" i="10"/>
  <c r="H348" i="10"/>
  <c r="W347" i="10"/>
  <c r="V347" i="10"/>
  <c r="U347" i="10"/>
  <c r="T347" i="10"/>
  <c r="S347" i="10"/>
  <c r="R347" i="10"/>
  <c r="Q347" i="10"/>
  <c r="P347" i="10"/>
  <c r="O347" i="10"/>
  <c r="N347" i="10"/>
  <c r="M347" i="10"/>
  <c r="L347" i="10"/>
  <c r="K347" i="10"/>
  <c r="J347" i="10"/>
  <c r="I347" i="10"/>
  <c r="H347" i="10"/>
  <c r="W346" i="10"/>
  <c r="V346" i="10"/>
  <c r="U346" i="10"/>
  <c r="T346" i="10"/>
  <c r="S346" i="10"/>
  <c r="R346" i="10"/>
  <c r="Q346" i="10"/>
  <c r="P346" i="10"/>
  <c r="O346" i="10"/>
  <c r="N346" i="10"/>
  <c r="M346" i="10"/>
  <c r="L346" i="10"/>
  <c r="K346" i="10"/>
  <c r="J346" i="10"/>
  <c r="I346" i="10"/>
  <c r="H346" i="10"/>
  <c r="W345" i="10"/>
  <c r="V345" i="10"/>
  <c r="U345" i="10"/>
  <c r="T345" i="10"/>
  <c r="S345" i="10"/>
  <c r="R345" i="10"/>
  <c r="Q345" i="10"/>
  <c r="P345" i="10"/>
  <c r="O345" i="10"/>
  <c r="N345" i="10"/>
  <c r="M345" i="10"/>
  <c r="L345" i="10"/>
  <c r="K345" i="10"/>
  <c r="J345" i="10"/>
  <c r="I345" i="10"/>
  <c r="H345" i="10"/>
  <c r="W344" i="10"/>
  <c r="V344" i="10"/>
  <c r="U344" i="10"/>
  <c r="T344" i="10"/>
  <c r="S344" i="10"/>
  <c r="R344" i="10"/>
  <c r="Q344" i="10"/>
  <c r="P344" i="10"/>
  <c r="O344" i="10"/>
  <c r="N344" i="10"/>
  <c r="M344" i="10"/>
  <c r="L344" i="10"/>
  <c r="K344" i="10"/>
  <c r="J344" i="10"/>
  <c r="I344" i="10"/>
  <c r="H344" i="10"/>
  <c r="W343" i="10"/>
  <c r="V343" i="10"/>
  <c r="U343" i="10"/>
  <c r="T343" i="10"/>
  <c r="S343" i="10"/>
  <c r="R343" i="10"/>
  <c r="Q343" i="10"/>
  <c r="P343" i="10"/>
  <c r="O343" i="10"/>
  <c r="N343" i="10"/>
  <c r="M343" i="10"/>
  <c r="L343" i="10"/>
  <c r="K343" i="10"/>
  <c r="J343" i="10"/>
  <c r="I343" i="10"/>
  <c r="H343" i="10"/>
  <c r="W342" i="10"/>
  <c r="V342" i="10"/>
  <c r="U342" i="10"/>
  <c r="T342" i="10"/>
  <c r="S342" i="10"/>
  <c r="R342" i="10"/>
  <c r="Q342" i="10"/>
  <c r="P342" i="10"/>
  <c r="O342" i="10"/>
  <c r="N342" i="10"/>
  <c r="M342" i="10"/>
  <c r="L342" i="10"/>
  <c r="K342" i="10"/>
  <c r="J342" i="10"/>
  <c r="I342" i="10"/>
  <c r="H342" i="10"/>
  <c r="W341" i="10"/>
  <c r="V341" i="10"/>
  <c r="U341" i="10"/>
  <c r="T341" i="10"/>
  <c r="S341" i="10"/>
  <c r="R341" i="10"/>
  <c r="Q341" i="10"/>
  <c r="P341" i="10"/>
  <c r="O341" i="10"/>
  <c r="N341" i="10"/>
  <c r="M341" i="10"/>
  <c r="L341" i="10"/>
  <c r="K341" i="10"/>
  <c r="J341" i="10"/>
  <c r="I341" i="10"/>
  <c r="H341" i="10"/>
  <c r="W340" i="10"/>
  <c r="V340" i="10"/>
  <c r="U340" i="10"/>
  <c r="T340" i="10"/>
  <c r="S340" i="10"/>
  <c r="R340" i="10"/>
  <c r="Q340" i="10"/>
  <c r="P340" i="10"/>
  <c r="O340" i="10"/>
  <c r="N340" i="10"/>
  <c r="M340" i="10"/>
  <c r="L340" i="10"/>
  <c r="K340" i="10"/>
  <c r="J340" i="10"/>
  <c r="I340" i="10"/>
  <c r="H340" i="10"/>
  <c r="W339" i="10"/>
  <c r="V339" i="10"/>
  <c r="U339" i="10"/>
  <c r="T339" i="10"/>
  <c r="S339" i="10"/>
  <c r="R339" i="10"/>
  <c r="Q339" i="10"/>
  <c r="P339" i="10"/>
  <c r="O339" i="10"/>
  <c r="N339" i="10"/>
  <c r="M339" i="10"/>
  <c r="L339" i="10"/>
  <c r="K339" i="10"/>
  <c r="J339" i="10"/>
  <c r="I339" i="10"/>
  <c r="H339" i="10"/>
  <c r="W338" i="10"/>
  <c r="V338" i="10"/>
  <c r="U338" i="10"/>
  <c r="T338" i="10"/>
  <c r="S338" i="10"/>
  <c r="R338" i="10"/>
  <c r="Q338" i="10"/>
  <c r="P338" i="10"/>
  <c r="O338" i="10"/>
  <c r="N338" i="10"/>
  <c r="M338" i="10"/>
  <c r="L338" i="10"/>
  <c r="K338" i="10"/>
  <c r="J338" i="10"/>
  <c r="I338" i="10"/>
  <c r="H338" i="10"/>
  <c r="W337" i="10"/>
  <c r="V337" i="10"/>
  <c r="U337" i="10"/>
  <c r="T337" i="10"/>
  <c r="S337" i="10"/>
  <c r="R337" i="10"/>
  <c r="Q337" i="10"/>
  <c r="P337" i="10"/>
  <c r="O337" i="10"/>
  <c r="N337" i="10"/>
  <c r="M337" i="10"/>
  <c r="L337" i="10"/>
  <c r="K337" i="10"/>
  <c r="J337" i="10"/>
  <c r="I337" i="10"/>
  <c r="H337" i="10"/>
  <c r="W336" i="10"/>
  <c r="V336" i="10"/>
  <c r="U336" i="10"/>
  <c r="T336" i="10"/>
  <c r="S336" i="10"/>
  <c r="R336" i="10"/>
  <c r="Q336" i="10"/>
  <c r="P336" i="10"/>
  <c r="O336" i="10"/>
  <c r="N336" i="10"/>
  <c r="M336" i="10"/>
  <c r="L336" i="10"/>
  <c r="K336" i="10"/>
  <c r="J336" i="10"/>
  <c r="I336" i="10"/>
  <c r="H336" i="10"/>
  <c r="W335" i="10"/>
  <c r="V335" i="10"/>
  <c r="U335" i="10"/>
  <c r="T335" i="10"/>
  <c r="S335" i="10"/>
  <c r="R335" i="10"/>
  <c r="Q335" i="10"/>
  <c r="P335" i="10"/>
  <c r="O335" i="10"/>
  <c r="N335" i="10"/>
  <c r="M335" i="10"/>
  <c r="L335" i="10"/>
  <c r="K335" i="10"/>
  <c r="J335" i="10"/>
  <c r="I335" i="10"/>
  <c r="H335" i="10"/>
  <c r="W334" i="10"/>
  <c r="V334" i="10"/>
  <c r="U334" i="10"/>
  <c r="T334" i="10"/>
  <c r="S334" i="10"/>
  <c r="R334" i="10"/>
  <c r="Q334" i="10"/>
  <c r="P334" i="10"/>
  <c r="O334" i="10"/>
  <c r="N334" i="10"/>
  <c r="M334" i="10"/>
  <c r="L334" i="10"/>
  <c r="K334" i="10"/>
  <c r="J334" i="10"/>
  <c r="I334" i="10"/>
  <c r="H334" i="10"/>
  <c r="W333" i="10"/>
  <c r="V333" i="10"/>
  <c r="U333" i="10"/>
  <c r="T333" i="10"/>
  <c r="S333" i="10"/>
  <c r="R333" i="10"/>
  <c r="Q333" i="10"/>
  <c r="P333" i="10"/>
  <c r="O333" i="10"/>
  <c r="N333" i="10"/>
  <c r="M333" i="10"/>
  <c r="L333" i="10"/>
  <c r="K333" i="10"/>
  <c r="J333" i="10"/>
  <c r="I333" i="10"/>
  <c r="H333" i="10"/>
  <c r="W332" i="10"/>
  <c r="V332" i="10"/>
  <c r="U332" i="10"/>
  <c r="T332" i="10"/>
  <c r="S332" i="10"/>
  <c r="R332" i="10"/>
  <c r="Q332" i="10"/>
  <c r="P332" i="10"/>
  <c r="O332" i="10"/>
  <c r="N332" i="10"/>
  <c r="M332" i="10"/>
  <c r="L332" i="10"/>
  <c r="K332" i="10"/>
  <c r="J332" i="10"/>
  <c r="I332" i="10"/>
  <c r="H332" i="10"/>
  <c r="W331" i="10"/>
  <c r="V331" i="10"/>
  <c r="U331" i="10"/>
  <c r="T331" i="10"/>
  <c r="S331" i="10"/>
  <c r="R331" i="10"/>
  <c r="Q331" i="10"/>
  <c r="P331" i="10"/>
  <c r="O331" i="10"/>
  <c r="N331" i="10"/>
  <c r="M331" i="10"/>
  <c r="L331" i="10"/>
  <c r="K331" i="10"/>
  <c r="J331" i="10"/>
  <c r="I331" i="10"/>
  <c r="H331" i="10"/>
  <c r="W330" i="10"/>
  <c r="V330" i="10"/>
  <c r="U330" i="10"/>
  <c r="T330" i="10"/>
  <c r="S330" i="10"/>
  <c r="R330" i="10"/>
  <c r="Q330" i="10"/>
  <c r="P330" i="10"/>
  <c r="O330" i="10"/>
  <c r="N330" i="10"/>
  <c r="M330" i="10"/>
  <c r="L330" i="10"/>
  <c r="K330" i="10"/>
  <c r="J330" i="10"/>
  <c r="I330" i="10"/>
  <c r="H330" i="10"/>
  <c r="W329" i="10"/>
  <c r="V329" i="10"/>
  <c r="U329" i="10"/>
  <c r="T329" i="10"/>
  <c r="S329" i="10"/>
  <c r="R329" i="10"/>
  <c r="Q329" i="10"/>
  <c r="P329" i="10"/>
  <c r="O329" i="10"/>
  <c r="N329" i="10"/>
  <c r="M329" i="10"/>
  <c r="L329" i="10"/>
  <c r="K329" i="10"/>
  <c r="J329" i="10"/>
  <c r="I329" i="10"/>
  <c r="H329" i="10"/>
  <c r="W328" i="10"/>
  <c r="V328" i="10"/>
  <c r="U328" i="10"/>
  <c r="T328" i="10"/>
  <c r="S328" i="10"/>
  <c r="R328" i="10"/>
  <c r="Q328" i="10"/>
  <c r="P328" i="10"/>
  <c r="O328" i="10"/>
  <c r="N328" i="10"/>
  <c r="M328" i="10"/>
  <c r="L328" i="10"/>
  <c r="K328" i="10"/>
  <c r="J328" i="10"/>
  <c r="I328" i="10"/>
  <c r="H328" i="10"/>
  <c r="W327" i="10"/>
  <c r="V327" i="10"/>
  <c r="U327" i="10"/>
  <c r="T327" i="10"/>
  <c r="S327" i="10"/>
  <c r="R327" i="10"/>
  <c r="Q327" i="10"/>
  <c r="P327" i="10"/>
  <c r="O327" i="10"/>
  <c r="N327" i="10"/>
  <c r="M327" i="10"/>
  <c r="L327" i="10"/>
  <c r="K327" i="10"/>
  <c r="J327" i="10"/>
  <c r="I327" i="10"/>
  <c r="H327" i="10"/>
  <c r="W326" i="10"/>
  <c r="V326" i="10"/>
  <c r="U326" i="10"/>
  <c r="T326" i="10"/>
  <c r="S326" i="10"/>
  <c r="R326" i="10"/>
  <c r="Q326" i="10"/>
  <c r="P326" i="10"/>
  <c r="O326" i="10"/>
  <c r="N326" i="10"/>
  <c r="M326" i="10"/>
  <c r="L326" i="10"/>
  <c r="K326" i="10"/>
  <c r="J326" i="10"/>
  <c r="I326" i="10"/>
  <c r="H326" i="10"/>
  <c r="W325" i="10"/>
  <c r="V325" i="10"/>
  <c r="U325" i="10"/>
  <c r="T325" i="10"/>
  <c r="S325" i="10"/>
  <c r="R325" i="10"/>
  <c r="Q325" i="10"/>
  <c r="P325" i="10"/>
  <c r="O325" i="10"/>
  <c r="N325" i="10"/>
  <c r="M325" i="10"/>
  <c r="L325" i="10"/>
  <c r="K325" i="10"/>
  <c r="J325" i="10"/>
  <c r="I325" i="10"/>
  <c r="H325" i="10"/>
  <c r="W324" i="10"/>
  <c r="V324" i="10"/>
  <c r="U324" i="10"/>
  <c r="T324" i="10"/>
  <c r="S324" i="10"/>
  <c r="R324" i="10"/>
  <c r="Q324" i="10"/>
  <c r="P324" i="10"/>
  <c r="O324" i="10"/>
  <c r="N324" i="10"/>
  <c r="M324" i="10"/>
  <c r="L324" i="10"/>
  <c r="K324" i="10"/>
  <c r="J324" i="10"/>
  <c r="I324" i="10"/>
  <c r="H324" i="10"/>
  <c r="W323" i="10"/>
  <c r="V323" i="10"/>
  <c r="U323" i="10"/>
  <c r="T323" i="10"/>
  <c r="S323" i="10"/>
  <c r="R323" i="10"/>
  <c r="Q323" i="10"/>
  <c r="P323" i="10"/>
  <c r="O323" i="10"/>
  <c r="N323" i="10"/>
  <c r="M323" i="10"/>
  <c r="L323" i="10"/>
  <c r="K323" i="10"/>
  <c r="J323" i="10"/>
  <c r="I323" i="10"/>
  <c r="H323" i="10"/>
  <c r="W322" i="10"/>
  <c r="V322" i="10"/>
  <c r="U322" i="10"/>
  <c r="T322" i="10"/>
  <c r="S322" i="10"/>
  <c r="R322" i="10"/>
  <c r="Q322" i="10"/>
  <c r="P322" i="10"/>
  <c r="O322" i="10"/>
  <c r="N322" i="10"/>
  <c r="M322" i="10"/>
  <c r="L322" i="10"/>
  <c r="K322" i="10"/>
  <c r="J322" i="10"/>
  <c r="I322" i="10"/>
  <c r="H322" i="10"/>
  <c r="W321" i="10"/>
  <c r="V321" i="10"/>
  <c r="U321" i="10"/>
  <c r="T321" i="10"/>
  <c r="S321" i="10"/>
  <c r="R321" i="10"/>
  <c r="Q321" i="10"/>
  <c r="P321" i="10"/>
  <c r="O321" i="10"/>
  <c r="N321" i="10"/>
  <c r="M321" i="10"/>
  <c r="L321" i="10"/>
  <c r="K321" i="10"/>
  <c r="J321" i="10"/>
  <c r="I321" i="10"/>
  <c r="H321" i="10"/>
  <c r="W320" i="10"/>
  <c r="V320" i="10"/>
  <c r="U320" i="10"/>
  <c r="T320" i="10"/>
  <c r="S320" i="10"/>
  <c r="R320" i="10"/>
  <c r="Q320" i="10"/>
  <c r="P320" i="10"/>
  <c r="O320" i="10"/>
  <c r="N320" i="10"/>
  <c r="M320" i="10"/>
  <c r="L320" i="10"/>
  <c r="K320" i="10"/>
  <c r="J320" i="10"/>
  <c r="I320" i="10"/>
  <c r="H320" i="10"/>
  <c r="W319" i="10"/>
  <c r="V319" i="10"/>
  <c r="U319" i="10"/>
  <c r="T319" i="10"/>
  <c r="S319" i="10"/>
  <c r="R319" i="10"/>
  <c r="Q319" i="10"/>
  <c r="P319" i="10"/>
  <c r="O319" i="10"/>
  <c r="N319" i="10"/>
  <c r="M319" i="10"/>
  <c r="L319" i="10"/>
  <c r="K319" i="10"/>
  <c r="J319" i="10"/>
  <c r="I319" i="10"/>
  <c r="H319" i="10"/>
  <c r="W318" i="10"/>
  <c r="V318" i="10"/>
  <c r="U318" i="10"/>
  <c r="T318" i="10"/>
  <c r="S318" i="10"/>
  <c r="R318" i="10"/>
  <c r="Q318" i="10"/>
  <c r="P318" i="10"/>
  <c r="O318" i="10"/>
  <c r="N318" i="10"/>
  <c r="M318" i="10"/>
  <c r="L318" i="10"/>
  <c r="K318" i="10"/>
  <c r="J318" i="10"/>
  <c r="I318" i="10"/>
  <c r="H318" i="10"/>
  <c r="W317" i="10"/>
  <c r="V317" i="10"/>
  <c r="U317" i="10"/>
  <c r="T317" i="10"/>
  <c r="S317" i="10"/>
  <c r="R317" i="10"/>
  <c r="Q317" i="10"/>
  <c r="P317" i="10"/>
  <c r="O317" i="10"/>
  <c r="N317" i="10"/>
  <c r="M317" i="10"/>
  <c r="L317" i="10"/>
  <c r="K317" i="10"/>
  <c r="J317" i="10"/>
  <c r="I317" i="10"/>
  <c r="H317" i="10"/>
  <c r="W316" i="10"/>
  <c r="V316" i="10"/>
  <c r="U316" i="10"/>
  <c r="T316" i="10"/>
  <c r="S316" i="10"/>
  <c r="R316" i="10"/>
  <c r="Q316" i="10"/>
  <c r="P316" i="10"/>
  <c r="O316" i="10"/>
  <c r="N316" i="10"/>
  <c r="M316" i="10"/>
  <c r="L316" i="10"/>
  <c r="K316" i="10"/>
  <c r="J316" i="10"/>
  <c r="I316" i="10"/>
  <c r="H316" i="10"/>
  <c r="W315" i="10"/>
  <c r="V315" i="10"/>
  <c r="U315" i="10"/>
  <c r="T315" i="10"/>
  <c r="S315" i="10"/>
  <c r="R315" i="10"/>
  <c r="Q315" i="10"/>
  <c r="P315" i="10"/>
  <c r="O315" i="10"/>
  <c r="N315" i="10"/>
  <c r="M315" i="10"/>
  <c r="L315" i="10"/>
  <c r="K315" i="10"/>
  <c r="J315" i="10"/>
  <c r="I315" i="10"/>
  <c r="H315" i="10"/>
  <c r="W314" i="10"/>
  <c r="V314" i="10"/>
  <c r="U314" i="10"/>
  <c r="T314" i="10"/>
  <c r="S314" i="10"/>
  <c r="R314" i="10"/>
  <c r="Q314" i="10"/>
  <c r="P314" i="10"/>
  <c r="O314" i="10"/>
  <c r="N314" i="10"/>
  <c r="M314" i="10"/>
  <c r="L314" i="10"/>
  <c r="K314" i="10"/>
  <c r="J314" i="10"/>
  <c r="I314" i="10"/>
  <c r="H314" i="10"/>
  <c r="W313" i="10"/>
  <c r="V313" i="10"/>
  <c r="U313" i="10"/>
  <c r="T313" i="10"/>
  <c r="S313" i="10"/>
  <c r="R313" i="10"/>
  <c r="Q313" i="10"/>
  <c r="P313" i="10"/>
  <c r="O313" i="10"/>
  <c r="N313" i="10"/>
  <c r="M313" i="10"/>
  <c r="L313" i="10"/>
  <c r="K313" i="10"/>
  <c r="J313" i="10"/>
  <c r="I313" i="10"/>
  <c r="H313" i="10"/>
  <c r="W312" i="10"/>
  <c r="V312" i="10"/>
  <c r="U312" i="10"/>
  <c r="T312" i="10"/>
  <c r="S312" i="10"/>
  <c r="R312" i="10"/>
  <c r="Q312" i="10"/>
  <c r="P312" i="10"/>
  <c r="O312" i="10"/>
  <c r="N312" i="10"/>
  <c r="M312" i="10"/>
  <c r="L312" i="10"/>
  <c r="K312" i="10"/>
  <c r="J312" i="10"/>
  <c r="I312" i="10"/>
  <c r="H312" i="10"/>
  <c r="W311" i="10"/>
  <c r="V311" i="10"/>
  <c r="U311" i="10"/>
  <c r="T311" i="10"/>
  <c r="S311" i="10"/>
  <c r="R311" i="10"/>
  <c r="Q311" i="10"/>
  <c r="P311" i="10"/>
  <c r="O311" i="10"/>
  <c r="N311" i="10"/>
  <c r="M311" i="10"/>
  <c r="L311" i="10"/>
  <c r="K311" i="10"/>
  <c r="J311" i="10"/>
  <c r="I311" i="10"/>
  <c r="H311" i="10"/>
  <c r="W310" i="10"/>
  <c r="V310" i="10"/>
  <c r="U310" i="10"/>
  <c r="T310" i="10"/>
  <c r="S310" i="10"/>
  <c r="R310" i="10"/>
  <c r="Q310" i="10"/>
  <c r="P310" i="10"/>
  <c r="O310" i="10"/>
  <c r="N310" i="10"/>
  <c r="M310" i="10"/>
  <c r="L310" i="10"/>
  <c r="K310" i="10"/>
  <c r="J310" i="10"/>
  <c r="I310" i="10"/>
  <c r="H310" i="10"/>
  <c r="W309" i="10"/>
  <c r="V309" i="10"/>
  <c r="U309" i="10"/>
  <c r="T309" i="10"/>
  <c r="S309" i="10"/>
  <c r="R309" i="10"/>
  <c r="Q309" i="10"/>
  <c r="P309" i="10"/>
  <c r="O309" i="10"/>
  <c r="N309" i="10"/>
  <c r="M309" i="10"/>
  <c r="L309" i="10"/>
  <c r="K309" i="10"/>
  <c r="J309" i="10"/>
  <c r="I309" i="10"/>
  <c r="H309" i="10"/>
  <c r="W308" i="10"/>
  <c r="V308" i="10"/>
  <c r="U308" i="10"/>
  <c r="T308" i="10"/>
  <c r="S308" i="10"/>
  <c r="R308" i="10"/>
  <c r="Q308" i="10"/>
  <c r="P308" i="10"/>
  <c r="O308" i="10"/>
  <c r="N308" i="10"/>
  <c r="M308" i="10"/>
  <c r="L308" i="10"/>
  <c r="K308" i="10"/>
  <c r="J308" i="10"/>
  <c r="I308" i="10"/>
  <c r="H308" i="10"/>
  <c r="W307" i="10"/>
  <c r="V307" i="10"/>
  <c r="U307" i="10"/>
  <c r="T307" i="10"/>
  <c r="S307" i="10"/>
  <c r="R307" i="10"/>
  <c r="Q307" i="10"/>
  <c r="P307" i="10"/>
  <c r="O307" i="10"/>
  <c r="N307" i="10"/>
  <c r="M307" i="10"/>
  <c r="L307" i="10"/>
  <c r="K307" i="10"/>
  <c r="J307" i="10"/>
  <c r="I307" i="10"/>
  <c r="H307" i="10"/>
  <c r="W306" i="10"/>
  <c r="V306" i="10"/>
  <c r="U306" i="10"/>
  <c r="T306" i="10"/>
  <c r="S306" i="10"/>
  <c r="R306" i="10"/>
  <c r="Q306" i="10"/>
  <c r="P306" i="10"/>
  <c r="O306" i="10"/>
  <c r="N306" i="10"/>
  <c r="M306" i="10"/>
  <c r="L306" i="10"/>
  <c r="K306" i="10"/>
  <c r="J306" i="10"/>
  <c r="I306" i="10"/>
  <c r="H306" i="10"/>
  <c r="W305" i="10"/>
  <c r="V305" i="10"/>
  <c r="U305" i="10"/>
  <c r="T305" i="10"/>
  <c r="S305" i="10"/>
  <c r="R305" i="10"/>
  <c r="Q305" i="10"/>
  <c r="P305" i="10"/>
  <c r="O305" i="10"/>
  <c r="N305" i="10"/>
  <c r="M305" i="10"/>
  <c r="L305" i="10"/>
  <c r="K305" i="10"/>
  <c r="J305" i="10"/>
  <c r="I305" i="10"/>
  <c r="H305" i="10"/>
  <c r="W304" i="10"/>
  <c r="V304" i="10"/>
  <c r="U304" i="10"/>
  <c r="T304" i="10"/>
  <c r="S304" i="10"/>
  <c r="R304" i="10"/>
  <c r="Q304" i="10"/>
  <c r="P304" i="10"/>
  <c r="O304" i="10"/>
  <c r="N304" i="10"/>
  <c r="M304" i="10"/>
  <c r="L304" i="10"/>
  <c r="K304" i="10"/>
  <c r="J304" i="10"/>
  <c r="I304" i="10"/>
  <c r="H304" i="10"/>
  <c r="W303" i="10"/>
  <c r="V303" i="10"/>
  <c r="U303" i="10"/>
  <c r="T303" i="10"/>
  <c r="S303" i="10"/>
  <c r="R303" i="10"/>
  <c r="Q303" i="10"/>
  <c r="P303" i="10"/>
  <c r="O303" i="10"/>
  <c r="N303" i="10"/>
  <c r="M303" i="10"/>
  <c r="L303" i="10"/>
  <c r="K303" i="10"/>
  <c r="J303" i="10"/>
  <c r="I303" i="10"/>
  <c r="H303" i="10"/>
  <c r="W302" i="10"/>
  <c r="V302" i="10"/>
  <c r="U302" i="10"/>
  <c r="T302" i="10"/>
  <c r="S302" i="10"/>
  <c r="R302" i="10"/>
  <c r="Q302" i="10"/>
  <c r="P302" i="10"/>
  <c r="O302" i="10"/>
  <c r="N302" i="10"/>
  <c r="M302" i="10"/>
  <c r="L302" i="10"/>
  <c r="K302" i="10"/>
  <c r="J302" i="10"/>
  <c r="I302" i="10"/>
  <c r="H302" i="10"/>
  <c r="W301" i="10"/>
  <c r="V301" i="10"/>
  <c r="U301" i="10"/>
  <c r="T301" i="10"/>
  <c r="S301" i="10"/>
  <c r="R301" i="10"/>
  <c r="Q301" i="10"/>
  <c r="P301" i="10"/>
  <c r="O301" i="10"/>
  <c r="N301" i="10"/>
  <c r="M301" i="10"/>
  <c r="L301" i="10"/>
  <c r="K301" i="10"/>
  <c r="J301" i="10"/>
  <c r="I301" i="10"/>
  <c r="H301" i="10"/>
  <c r="W300" i="10"/>
  <c r="V300" i="10"/>
  <c r="U300" i="10"/>
  <c r="T300" i="10"/>
  <c r="S300" i="10"/>
  <c r="R300" i="10"/>
  <c r="Q300" i="10"/>
  <c r="P300" i="10"/>
  <c r="O300" i="10"/>
  <c r="N300" i="10"/>
  <c r="M300" i="10"/>
  <c r="L300" i="10"/>
  <c r="K300" i="10"/>
  <c r="J300" i="10"/>
  <c r="I300" i="10"/>
  <c r="H300" i="10"/>
  <c r="W299" i="10"/>
  <c r="V299" i="10"/>
  <c r="U299" i="10"/>
  <c r="T299" i="10"/>
  <c r="S299" i="10"/>
  <c r="R299" i="10"/>
  <c r="Q299" i="10"/>
  <c r="P299" i="10"/>
  <c r="O299" i="10"/>
  <c r="N299" i="10"/>
  <c r="M299" i="10"/>
  <c r="L299" i="10"/>
  <c r="K299" i="10"/>
  <c r="J299" i="10"/>
  <c r="I299" i="10"/>
  <c r="H299" i="10"/>
  <c r="W298" i="10"/>
  <c r="V298" i="10"/>
  <c r="U298" i="10"/>
  <c r="T298" i="10"/>
  <c r="S298" i="10"/>
  <c r="R298" i="10"/>
  <c r="Q298" i="10"/>
  <c r="P298" i="10"/>
  <c r="O298" i="10"/>
  <c r="N298" i="10"/>
  <c r="M298" i="10"/>
  <c r="L298" i="10"/>
  <c r="K298" i="10"/>
  <c r="J298" i="10"/>
  <c r="I298" i="10"/>
  <c r="H298" i="10"/>
  <c r="W297" i="10"/>
  <c r="V297" i="10"/>
  <c r="U297" i="10"/>
  <c r="T297" i="10"/>
  <c r="S297" i="10"/>
  <c r="R297" i="10"/>
  <c r="Q297" i="10"/>
  <c r="P297" i="10"/>
  <c r="O297" i="10"/>
  <c r="N297" i="10"/>
  <c r="M297" i="10"/>
  <c r="L297" i="10"/>
  <c r="K297" i="10"/>
  <c r="J297" i="10"/>
  <c r="I297" i="10"/>
  <c r="H297" i="10"/>
  <c r="W296" i="10"/>
  <c r="V296" i="10"/>
  <c r="U296" i="10"/>
  <c r="T296" i="10"/>
  <c r="S296" i="10"/>
  <c r="R296" i="10"/>
  <c r="Q296" i="10"/>
  <c r="P296" i="10"/>
  <c r="O296" i="10"/>
  <c r="N296" i="10"/>
  <c r="M296" i="10"/>
  <c r="L296" i="10"/>
  <c r="K296" i="10"/>
  <c r="J296" i="10"/>
  <c r="I296" i="10"/>
  <c r="H296" i="10"/>
  <c r="W295" i="10"/>
  <c r="V295" i="10"/>
  <c r="U295" i="10"/>
  <c r="T295" i="10"/>
  <c r="S295" i="10"/>
  <c r="R295" i="10"/>
  <c r="Q295" i="10"/>
  <c r="P295" i="10"/>
  <c r="O295" i="10"/>
  <c r="N295" i="10"/>
  <c r="M295" i="10"/>
  <c r="L295" i="10"/>
  <c r="K295" i="10"/>
  <c r="J295" i="10"/>
  <c r="I295" i="10"/>
  <c r="H295" i="10"/>
  <c r="W294" i="10"/>
  <c r="V294" i="10"/>
  <c r="U294" i="10"/>
  <c r="T294" i="10"/>
  <c r="S294" i="10"/>
  <c r="R294" i="10"/>
  <c r="Q294" i="10"/>
  <c r="P294" i="10"/>
  <c r="O294" i="10"/>
  <c r="N294" i="10"/>
  <c r="M294" i="10"/>
  <c r="L294" i="10"/>
  <c r="K294" i="10"/>
  <c r="J294" i="10"/>
  <c r="I294" i="10"/>
  <c r="H294" i="10"/>
  <c r="W293" i="10"/>
  <c r="V293" i="10"/>
  <c r="U293" i="10"/>
  <c r="T293" i="10"/>
  <c r="S293" i="10"/>
  <c r="R293" i="10"/>
  <c r="Q293" i="10"/>
  <c r="P293" i="10"/>
  <c r="O293" i="10"/>
  <c r="N293" i="10"/>
  <c r="M293" i="10"/>
  <c r="L293" i="10"/>
  <c r="K293" i="10"/>
  <c r="J293" i="10"/>
  <c r="I293" i="10"/>
  <c r="H293" i="10"/>
  <c r="W292" i="10"/>
  <c r="V292" i="10"/>
  <c r="U292" i="10"/>
  <c r="T292" i="10"/>
  <c r="S292" i="10"/>
  <c r="R292" i="10"/>
  <c r="Q292" i="10"/>
  <c r="P292" i="10"/>
  <c r="O292" i="10"/>
  <c r="N292" i="10"/>
  <c r="M292" i="10"/>
  <c r="L292" i="10"/>
  <c r="K292" i="10"/>
  <c r="J292" i="10"/>
  <c r="I292" i="10"/>
  <c r="H292" i="10"/>
  <c r="W291" i="10"/>
  <c r="V291" i="10"/>
  <c r="U291" i="10"/>
  <c r="T291" i="10"/>
  <c r="S291" i="10"/>
  <c r="R291" i="10"/>
  <c r="Q291" i="10"/>
  <c r="P291" i="10"/>
  <c r="O291" i="10"/>
  <c r="N291" i="10"/>
  <c r="M291" i="10"/>
  <c r="L291" i="10"/>
  <c r="K291" i="10"/>
  <c r="J291" i="10"/>
  <c r="I291" i="10"/>
  <c r="H291" i="10"/>
  <c r="W290" i="10"/>
  <c r="V290" i="10"/>
  <c r="U290" i="10"/>
  <c r="T290" i="10"/>
  <c r="S290" i="10"/>
  <c r="R290" i="10"/>
  <c r="Q290" i="10"/>
  <c r="P290" i="10"/>
  <c r="O290" i="10"/>
  <c r="N290" i="10"/>
  <c r="M290" i="10"/>
  <c r="L290" i="10"/>
  <c r="K290" i="10"/>
  <c r="J290" i="10"/>
  <c r="I290" i="10"/>
  <c r="H290" i="10"/>
  <c r="W289" i="10"/>
  <c r="V289" i="10"/>
  <c r="U289" i="10"/>
  <c r="T289" i="10"/>
  <c r="S289" i="10"/>
  <c r="R289" i="10"/>
  <c r="Q289" i="10"/>
  <c r="P289" i="10"/>
  <c r="O289" i="10"/>
  <c r="N289" i="10"/>
  <c r="M289" i="10"/>
  <c r="L289" i="10"/>
  <c r="K289" i="10"/>
  <c r="J289" i="10"/>
  <c r="I289" i="10"/>
  <c r="H289" i="10"/>
  <c r="W288" i="10"/>
  <c r="V288" i="10"/>
  <c r="U288" i="10"/>
  <c r="T288" i="10"/>
  <c r="S288" i="10"/>
  <c r="R288" i="10"/>
  <c r="Q288" i="10"/>
  <c r="P288" i="10"/>
  <c r="O288" i="10"/>
  <c r="N288" i="10"/>
  <c r="M288" i="10"/>
  <c r="L288" i="10"/>
  <c r="K288" i="10"/>
  <c r="J288" i="10"/>
  <c r="I288" i="10"/>
  <c r="H288" i="10"/>
  <c r="W287" i="10"/>
  <c r="V287" i="10"/>
  <c r="U287" i="10"/>
  <c r="T287" i="10"/>
  <c r="S287" i="10"/>
  <c r="R287" i="10"/>
  <c r="Q287" i="10"/>
  <c r="P287" i="10"/>
  <c r="O287" i="10"/>
  <c r="N287" i="10"/>
  <c r="M287" i="10"/>
  <c r="L287" i="10"/>
  <c r="K287" i="10"/>
  <c r="J287" i="10"/>
  <c r="I287" i="10"/>
  <c r="H287" i="10"/>
  <c r="W286" i="10"/>
  <c r="V286" i="10"/>
  <c r="U286" i="10"/>
  <c r="T286" i="10"/>
  <c r="S286" i="10"/>
  <c r="R286" i="10"/>
  <c r="Q286" i="10"/>
  <c r="P286" i="10"/>
  <c r="O286" i="10"/>
  <c r="N286" i="10"/>
  <c r="M286" i="10"/>
  <c r="L286" i="10"/>
  <c r="K286" i="10"/>
  <c r="J286" i="10"/>
  <c r="I286" i="10"/>
  <c r="H286" i="10"/>
  <c r="W285" i="10"/>
  <c r="V285" i="10"/>
  <c r="U285" i="10"/>
  <c r="T285" i="10"/>
  <c r="S285" i="10"/>
  <c r="R285" i="10"/>
  <c r="Q285" i="10"/>
  <c r="P285" i="10"/>
  <c r="O285" i="10"/>
  <c r="N285" i="10"/>
  <c r="M285" i="10"/>
  <c r="L285" i="10"/>
  <c r="K285" i="10"/>
  <c r="J285" i="10"/>
  <c r="I285" i="10"/>
  <c r="H285" i="10"/>
  <c r="W284" i="10"/>
  <c r="V284" i="10"/>
  <c r="U284" i="10"/>
  <c r="T284" i="10"/>
  <c r="S284" i="10"/>
  <c r="R284" i="10"/>
  <c r="Q284" i="10"/>
  <c r="P284" i="10"/>
  <c r="O284" i="10"/>
  <c r="N284" i="10"/>
  <c r="M284" i="10"/>
  <c r="L284" i="10"/>
  <c r="K284" i="10"/>
  <c r="J284" i="10"/>
  <c r="I284" i="10"/>
  <c r="H284" i="10"/>
  <c r="W283" i="10"/>
  <c r="V283" i="10"/>
  <c r="U283" i="10"/>
  <c r="T283" i="10"/>
  <c r="S283" i="10"/>
  <c r="R283" i="10"/>
  <c r="Q283" i="10"/>
  <c r="P283" i="10"/>
  <c r="O283" i="10"/>
  <c r="N283" i="10"/>
  <c r="M283" i="10"/>
  <c r="L283" i="10"/>
  <c r="K283" i="10"/>
  <c r="J283" i="10"/>
  <c r="I283" i="10"/>
  <c r="H283" i="10"/>
  <c r="W282" i="10"/>
  <c r="V282" i="10"/>
  <c r="U282" i="10"/>
  <c r="T282" i="10"/>
  <c r="S282" i="10"/>
  <c r="R282" i="10"/>
  <c r="Q282" i="10"/>
  <c r="P282" i="10"/>
  <c r="O282" i="10"/>
  <c r="N282" i="10"/>
  <c r="M282" i="10"/>
  <c r="L282" i="10"/>
  <c r="K282" i="10"/>
  <c r="J282" i="10"/>
  <c r="I282" i="10"/>
  <c r="H282" i="10"/>
  <c r="W281" i="10"/>
  <c r="V281" i="10"/>
  <c r="U281" i="10"/>
  <c r="T281" i="10"/>
  <c r="S281" i="10"/>
  <c r="R281" i="10"/>
  <c r="Q281" i="10"/>
  <c r="P281" i="10"/>
  <c r="O281" i="10"/>
  <c r="N281" i="10"/>
  <c r="M281" i="10"/>
  <c r="L281" i="10"/>
  <c r="K281" i="10"/>
  <c r="J281" i="10"/>
  <c r="I281" i="10"/>
  <c r="H281" i="10"/>
  <c r="W280" i="10"/>
  <c r="V280" i="10"/>
  <c r="U280" i="10"/>
  <c r="T280" i="10"/>
  <c r="S280" i="10"/>
  <c r="R280" i="10"/>
  <c r="Q280" i="10"/>
  <c r="P280" i="10"/>
  <c r="O280" i="10"/>
  <c r="N280" i="10"/>
  <c r="M280" i="10"/>
  <c r="L280" i="10"/>
  <c r="K280" i="10"/>
  <c r="J280" i="10"/>
  <c r="I280" i="10"/>
  <c r="H280" i="10"/>
  <c r="W279" i="10"/>
  <c r="V279" i="10"/>
  <c r="U279" i="10"/>
  <c r="T279" i="10"/>
  <c r="S279" i="10"/>
  <c r="R279" i="10"/>
  <c r="Q279" i="10"/>
  <c r="P279" i="10"/>
  <c r="O279" i="10"/>
  <c r="N279" i="10"/>
  <c r="M279" i="10"/>
  <c r="L279" i="10"/>
  <c r="K279" i="10"/>
  <c r="J279" i="10"/>
  <c r="I279" i="10"/>
  <c r="H279" i="10"/>
  <c r="W278" i="10"/>
  <c r="V278" i="10"/>
  <c r="U278" i="10"/>
  <c r="T278" i="10"/>
  <c r="S278" i="10"/>
  <c r="R278" i="10"/>
  <c r="Q278" i="10"/>
  <c r="P278" i="10"/>
  <c r="O278" i="10"/>
  <c r="N278" i="10"/>
  <c r="M278" i="10"/>
  <c r="L278" i="10"/>
  <c r="K278" i="10"/>
  <c r="J278" i="10"/>
  <c r="I278" i="10"/>
  <c r="H278" i="10"/>
  <c r="W277" i="10"/>
  <c r="V277" i="10"/>
  <c r="U277" i="10"/>
  <c r="T277" i="10"/>
  <c r="S277" i="10"/>
  <c r="R277" i="10"/>
  <c r="Q277" i="10"/>
  <c r="P277" i="10"/>
  <c r="O277" i="10"/>
  <c r="N277" i="10"/>
  <c r="M277" i="10"/>
  <c r="L277" i="10"/>
  <c r="K277" i="10"/>
  <c r="J277" i="10"/>
  <c r="I277" i="10"/>
  <c r="H277" i="10"/>
  <c r="W276" i="10"/>
  <c r="V276" i="10"/>
  <c r="U276" i="10"/>
  <c r="T276" i="10"/>
  <c r="S276" i="10"/>
  <c r="R276" i="10"/>
  <c r="Q276" i="10"/>
  <c r="P276" i="10"/>
  <c r="O276" i="10"/>
  <c r="N276" i="10"/>
  <c r="M276" i="10"/>
  <c r="L276" i="10"/>
  <c r="K276" i="10"/>
  <c r="J276" i="10"/>
  <c r="I276" i="10"/>
  <c r="H276" i="10"/>
  <c r="W275" i="10"/>
  <c r="V275" i="10"/>
  <c r="U275" i="10"/>
  <c r="T275" i="10"/>
  <c r="S275" i="10"/>
  <c r="R275" i="10"/>
  <c r="Q275" i="10"/>
  <c r="P275" i="10"/>
  <c r="O275" i="10"/>
  <c r="N275" i="10"/>
  <c r="M275" i="10"/>
  <c r="L275" i="10"/>
  <c r="K275" i="10"/>
  <c r="J275" i="10"/>
  <c r="I275" i="10"/>
  <c r="H275" i="10"/>
  <c r="W274" i="10"/>
  <c r="V274" i="10"/>
  <c r="U274" i="10"/>
  <c r="T274" i="10"/>
  <c r="S274" i="10"/>
  <c r="R274" i="10"/>
  <c r="Q274" i="10"/>
  <c r="P274" i="10"/>
  <c r="O274" i="10"/>
  <c r="N274" i="10"/>
  <c r="M274" i="10"/>
  <c r="L274" i="10"/>
  <c r="K274" i="10"/>
  <c r="J274" i="10"/>
  <c r="I274" i="10"/>
  <c r="H274" i="10"/>
  <c r="W273" i="10"/>
  <c r="V273" i="10"/>
  <c r="U273" i="10"/>
  <c r="T273" i="10"/>
  <c r="S273" i="10"/>
  <c r="R273" i="10"/>
  <c r="Q273" i="10"/>
  <c r="P273" i="10"/>
  <c r="O273" i="10"/>
  <c r="N273" i="10"/>
  <c r="M273" i="10"/>
  <c r="L273" i="10"/>
  <c r="K273" i="10"/>
  <c r="J273" i="10"/>
  <c r="I273" i="10"/>
  <c r="H273" i="10"/>
  <c r="W272" i="10"/>
  <c r="V272" i="10"/>
  <c r="U272" i="10"/>
  <c r="T272" i="10"/>
  <c r="S272" i="10"/>
  <c r="R272" i="10"/>
  <c r="Q272" i="10"/>
  <c r="P272" i="10"/>
  <c r="O272" i="10"/>
  <c r="N272" i="10"/>
  <c r="M272" i="10"/>
  <c r="L272" i="10"/>
  <c r="K272" i="10"/>
  <c r="J272" i="10"/>
  <c r="I272" i="10"/>
  <c r="H272" i="10"/>
  <c r="W271" i="10"/>
  <c r="V271" i="10"/>
  <c r="U271" i="10"/>
  <c r="T271" i="10"/>
  <c r="S271" i="10"/>
  <c r="R271" i="10"/>
  <c r="Q271" i="10"/>
  <c r="P271" i="10"/>
  <c r="O271" i="10"/>
  <c r="N271" i="10"/>
  <c r="M271" i="10"/>
  <c r="L271" i="10"/>
  <c r="K271" i="10"/>
  <c r="J271" i="10"/>
  <c r="I271" i="10"/>
  <c r="H271" i="10"/>
  <c r="W270" i="10"/>
  <c r="V270" i="10"/>
  <c r="U270" i="10"/>
  <c r="T270" i="10"/>
  <c r="S270" i="10"/>
  <c r="R270" i="10"/>
  <c r="Q270" i="10"/>
  <c r="P270" i="10"/>
  <c r="O270" i="10"/>
  <c r="N270" i="10"/>
  <c r="M270" i="10"/>
  <c r="L270" i="10"/>
  <c r="K270" i="10"/>
  <c r="J270" i="10"/>
  <c r="I270" i="10"/>
  <c r="H270" i="10"/>
  <c r="W269" i="10"/>
  <c r="V269" i="10"/>
  <c r="U269" i="10"/>
  <c r="T269" i="10"/>
  <c r="S269" i="10"/>
  <c r="R269" i="10"/>
  <c r="Q269" i="10"/>
  <c r="P269" i="10"/>
  <c r="O269" i="10"/>
  <c r="N269" i="10"/>
  <c r="M269" i="10"/>
  <c r="L269" i="10"/>
  <c r="K269" i="10"/>
  <c r="J269" i="10"/>
  <c r="I269" i="10"/>
  <c r="H269" i="10"/>
  <c r="W268" i="10"/>
  <c r="V268" i="10"/>
  <c r="U268" i="10"/>
  <c r="T268" i="10"/>
  <c r="S268" i="10"/>
  <c r="R268" i="10"/>
  <c r="Q268" i="10"/>
  <c r="P268" i="10"/>
  <c r="O268" i="10"/>
  <c r="N268" i="10"/>
  <c r="M268" i="10"/>
  <c r="L268" i="10"/>
  <c r="K268" i="10"/>
  <c r="J268" i="10"/>
  <c r="I268" i="10"/>
  <c r="H268" i="10"/>
  <c r="W267" i="10"/>
  <c r="V267" i="10"/>
  <c r="U267" i="10"/>
  <c r="T267" i="10"/>
  <c r="S267" i="10"/>
  <c r="R267" i="10"/>
  <c r="Q267" i="10"/>
  <c r="P267" i="10"/>
  <c r="O267" i="10"/>
  <c r="N267" i="10"/>
  <c r="M267" i="10"/>
  <c r="L267" i="10"/>
  <c r="K267" i="10"/>
  <c r="J267" i="10"/>
  <c r="I267" i="10"/>
  <c r="H267" i="10"/>
  <c r="W266" i="10"/>
  <c r="V266" i="10"/>
  <c r="U266" i="10"/>
  <c r="T266" i="10"/>
  <c r="S266" i="10"/>
  <c r="R266" i="10"/>
  <c r="Q266" i="10"/>
  <c r="P266" i="10"/>
  <c r="O266" i="10"/>
  <c r="N266" i="10"/>
  <c r="M266" i="10"/>
  <c r="L266" i="10"/>
  <c r="K266" i="10"/>
  <c r="J266" i="10"/>
  <c r="I266" i="10"/>
  <c r="H266" i="10"/>
  <c r="W265" i="10"/>
  <c r="V265" i="10"/>
  <c r="U265" i="10"/>
  <c r="T265" i="10"/>
  <c r="S265" i="10"/>
  <c r="R265" i="10"/>
  <c r="Q265" i="10"/>
  <c r="P265" i="10"/>
  <c r="O265" i="10"/>
  <c r="N265" i="10"/>
  <c r="M265" i="10"/>
  <c r="L265" i="10"/>
  <c r="K265" i="10"/>
  <c r="J265" i="10"/>
  <c r="I265" i="10"/>
  <c r="H265" i="10"/>
  <c r="W264" i="10"/>
  <c r="V264" i="10"/>
  <c r="U264" i="10"/>
  <c r="T264" i="10"/>
  <c r="S264" i="10"/>
  <c r="R264" i="10"/>
  <c r="Q264" i="10"/>
  <c r="P264" i="10"/>
  <c r="O264" i="10"/>
  <c r="N264" i="10"/>
  <c r="M264" i="10"/>
  <c r="L264" i="10"/>
  <c r="K264" i="10"/>
  <c r="J264" i="10"/>
  <c r="I264" i="10"/>
  <c r="H264" i="10"/>
  <c r="W263" i="10"/>
  <c r="V263" i="10"/>
  <c r="U263" i="10"/>
  <c r="T263" i="10"/>
  <c r="S263" i="10"/>
  <c r="R263" i="10"/>
  <c r="Q263" i="10"/>
  <c r="P263" i="10"/>
  <c r="O263" i="10"/>
  <c r="N263" i="10"/>
  <c r="M263" i="10"/>
  <c r="L263" i="10"/>
  <c r="K263" i="10"/>
  <c r="J263" i="10"/>
  <c r="I263" i="10"/>
  <c r="H263" i="10"/>
  <c r="W262" i="10"/>
  <c r="V262" i="10"/>
  <c r="U262" i="10"/>
  <c r="T262" i="10"/>
  <c r="S262" i="10"/>
  <c r="R262" i="10"/>
  <c r="Q262" i="10"/>
  <c r="P262" i="10"/>
  <c r="O262" i="10"/>
  <c r="N262" i="10"/>
  <c r="M262" i="10"/>
  <c r="L262" i="10"/>
  <c r="K262" i="10"/>
  <c r="J262" i="10"/>
  <c r="I262" i="10"/>
  <c r="H262" i="10"/>
  <c r="W261" i="10"/>
  <c r="V261" i="10"/>
  <c r="U261" i="10"/>
  <c r="T261" i="10"/>
  <c r="S261" i="10"/>
  <c r="R261" i="10"/>
  <c r="Q261" i="10"/>
  <c r="P261" i="10"/>
  <c r="O261" i="10"/>
  <c r="N261" i="10"/>
  <c r="M261" i="10"/>
  <c r="L261" i="10"/>
  <c r="K261" i="10"/>
  <c r="J261" i="10"/>
  <c r="I261" i="10"/>
  <c r="H261" i="10"/>
  <c r="W260" i="10"/>
  <c r="V260" i="10"/>
  <c r="U260" i="10"/>
  <c r="T260" i="10"/>
  <c r="S260" i="10"/>
  <c r="R260" i="10"/>
  <c r="Q260" i="10"/>
  <c r="P260" i="10"/>
  <c r="O260" i="10"/>
  <c r="N260" i="10"/>
  <c r="M260" i="10"/>
  <c r="L260" i="10"/>
  <c r="K260" i="10"/>
  <c r="J260" i="10"/>
  <c r="I260" i="10"/>
  <c r="H260" i="10"/>
  <c r="W259" i="10"/>
  <c r="V259" i="10"/>
  <c r="U259" i="10"/>
  <c r="T259" i="10"/>
  <c r="S259" i="10"/>
  <c r="R259" i="10"/>
  <c r="Q259" i="10"/>
  <c r="P259" i="10"/>
  <c r="O259" i="10"/>
  <c r="N259" i="10"/>
  <c r="M259" i="10"/>
  <c r="L259" i="10"/>
  <c r="K259" i="10"/>
  <c r="J259" i="10"/>
  <c r="I259" i="10"/>
  <c r="H259" i="10"/>
  <c r="W258" i="10"/>
  <c r="V258" i="10"/>
  <c r="U258" i="10"/>
  <c r="T258" i="10"/>
  <c r="S258" i="10"/>
  <c r="R258" i="10"/>
  <c r="Q258" i="10"/>
  <c r="P258" i="10"/>
  <c r="O258" i="10"/>
  <c r="N258" i="10"/>
  <c r="M258" i="10"/>
  <c r="L258" i="10"/>
  <c r="K258" i="10"/>
  <c r="J258" i="10"/>
  <c r="I258" i="10"/>
  <c r="H258" i="10"/>
  <c r="W257" i="10"/>
  <c r="V257" i="10"/>
  <c r="U257" i="10"/>
  <c r="T257" i="10"/>
  <c r="S257" i="10"/>
  <c r="R257" i="10"/>
  <c r="Q257" i="10"/>
  <c r="P257" i="10"/>
  <c r="O257" i="10"/>
  <c r="N257" i="10"/>
  <c r="M257" i="10"/>
  <c r="L257" i="10"/>
  <c r="K257" i="10"/>
  <c r="J257" i="10"/>
  <c r="I257" i="10"/>
  <c r="H257" i="10"/>
  <c r="W256" i="10"/>
  <c r="V256" i="10"/>
  <c r="U256" i="10"/>
  <c r="T256" i="10"/>
  <c r="S256" i="10"/>
  <c r="R256" i="10"/>
  <c r="Q256" i="10"/>
  <c r="P256" i="10"/>
  <c r="O256" i="10"/>
  <c r="N256" i="10"/>
  <c r="M256" i="10"/>
  <c r="L256" i="10"/>
  <c r="K256" i="10"/>
  <c r="J256" i="10"/>
  <c r="I256" i="10"/>
  <c r="H256" i="10"/>
  <c r="W255" i="10"/>
  <c r="V255" i="10"/>
  <c r="U255" i="10"/>
  <c r="T255" i="10"/>
  <c r="S255" i="10"/>
  <c r="R255" i="10"/>
  <c r="Q255" i="10"/>
  <c r="P255" i="10"/>
  <c r="O255" i="10"/>
  <c r="N255" i="10"/>
  <c r="M255" i="10"/>
  <c r="L255" i="10"/>
  <c r="K255" i="10"/>
  <c r="J255" i="10"/>
  <c r="I255" i="10"/>
  <c r="H255" i="10"/>
  <c r="W254" i="10"/>
  <c r="V254" i="10"/>
  <c r="U254" i="10"/>
  <c r="T254" i="10"/>
  <c r="S254" i="10"/>
  <c r="R254" i="10"/>
  <c r="Q254" i="10"/>
  <c r="P254" i="10"/>
  <c r="O254" i="10"/>
  <c r="N254" i="10"/>
  <c r="M254" i="10"/>
  <c r="L254" i="10"/>
  <c r="K254" i="10"/>
  <c r="J254" i="10"/>
  <c r="I254" i="10"/>
  <c r="H254" i="10"/>
  <c r="W253" i="10"/>
  <c r="V253" i="10"/>
  <c r="U253" i="10"/>
  <c r="T253" i="10"/>
  <c r="S253" i="10"/>
  <c r="R253" i="10"/>
  <c r="Q253" i="10"/>
  <c r="P253" i="10"/>
  <c r="O253" i="10"/>
  <c r="N253" i="10"/>
  <c r="M253" i="10"/>
  <c r="L253" i="10"/>
  <c r="K253" i="10"/>
  <c r="J253" i="10"/>
  <c r="I253" i="10"/>
  <c r="H253" i="10"/>
  <c r="W252" i="10"/>
  <c r="V252" i="10"/>
  <c r="U252" i="10"/>
  <c r="T252" i="10"/>
  <c r="S252" i="10"/>
  <c r="R252" i="10"/>
  <c r="Q252" i="10"/>
  <c r="P252" i="10"/>
  <c r="O252" i="10"/>
  <c r="N252" i="10"/>
  <c r="M252" i="10"/>
  <c r="L252" i="10"/>
  <c r="K252" i="10"/>
  <c r="J252" i="10"/>
  <c r="I252" i="10"/>
  <c r="H252" i="10"/>
  <c r="W251" i="10"/>
  <c r="V251" i="10"/>
  <c r="U251" i="10"/>
  <c r="T251" i="10"/>
  <c r="S251" i="10"/>
  <c r="R251" i="10"/>
  <c r="Q251" i="10"/>
  <c r="P251" i="10"/>
  <c r="O251" i="10"/>
  <c r="N251" i="10"/>
  <c r="M251" i="10"/>
  <c r="L251" i="10"/>
  <c r="K251" i="10"/>
  <c r="J251" i="10"/>
  <c r="I251" i="10"/>
  <c r="H251" i="10"/>
  <c r="W250" i="10"/>
  <c r="V250" i="10"/>
  <c r="U250" i="10"/>
  <c r="T250" i="10"/>
  <c r="S250" i="10"/>
  <c r="R250" i="10"/>
  <c r="Q250" i="10"/>
  <c r="P250" i="10"/>
  <c r="O250" i="10"/>
  <c r="N250" i="10"/>
  <c r="M250" i="10"/>
  <c r="L250" i="10"/>
  <c r="K250" i="10"/>
  <c r="J250" i="10"/>
  <c r="I250" i="10"/>
  <c r="H250" i="10"/>
  <c r="W249" i="10"/>
  <c r="V249" i="10"/>
  <c r="U249" i="10"/>
  <c r="T249" i="10"/>
  <c r="S249" i="10"/>
  <c r="R249" i="10"/>
  <c r="Q249" i="10"/>
  <c r="P249" i="10"/>
  <c r="O249" i="10"/>
  <c r="N249" i="10"/>
  <c r="M249" i="10"/>
  <c r="L249" i="10"/>
  <c r="K249" i="10"/>
  <c r="J249" i="10"/>
  <c r="I249" i="10"/>
  <c r="H249" i="10"/>
  <c r="W248" i="10"/>
  <c r="V248" i="10"/>
  <c r="U248" i="10"/>
  <c r="T248" i="10"/>
  <c r="S248" i="10"/>
  <c r="R248" i="10"/>
  <c r="Q248" i="10"/>
  <c r="P248" i="10"/>
  <c r="O248" i="10"/>
  <c r="N248" i="10"/>
  <c r="M248" i="10"/>
  <c r="L248" i="10"/>
  <c r="K248" i="10"/>
  <c r="J248" i="10"/>
  <c r="I248" i="10"/>
  <c r="H248" i="10"/>
  <c r="W247" i="10"/>
  <c r="V247" i="10"/>
  <c r="U247" i="10"/>
  <c r="T247" i="10"/>
  <c r="S247" i="10"/>
  <c r="R247" i="10"/>
  <c r="Q247" i="10"/>
  <c r="P247" i="10"/>
  <c r="O247" i="10"/>
  <c r="N247" i="10"/>
  <c r="M247" i="10"/>
  <c r="L247" i="10"/>
  <c r="K247" i="10"/>
  <c r="J247" i="10"/>
  <c r="I247" i="10"/>
  <c r="H247" i="10"/>
  <c r="W246" i="10"/>
  <c r="V246" i="10"/>
  <c r="U246" i="10"/>
  <c r="T246" i="10"/>
  <c r="S246" i="10"/>
  <c r="R246" i="10"/>
  <c r="Q246" i="10"/>
  <c r="P246" i="10"/>
  <c r="O246" i="10"/>
  <c r="N246" i="10"/>
  <c r="M246" i="10"/>
  <c r="L246" i="10"/>
  <c r="K246" i="10"/>
  <c r="J246" i="10"/>
  <c r="I246" i="10"/>
  <c r="H246" i="10"/>
  <c r="W245" i="10"/>
  <c r="V245" i="10"/>
  <c r="U245" i="10"/>
  <c r="T245" i="10"/>
  <c r="S245" i="10"/>
  <c r="R245" i="10"/>
  <c r="Q245" i="10"/>
  <c r="P245" i="10"/>
  <c r="O245" i="10"/>
  <c r="N245" i="10"/>
  <c r="M245" i="10"/>
  <c r="L245" i="10"/>
  <c r="K245" i="10"/>
  <c r="J245" i="10"/>
  <c r="I245" i="10"/>
  <c r="H245" i="10"/>
  <c r="W244" i="10"/>
  <c r="V244" i="10"/>
  <c r="U244" i="10"/>
  <c r="T244" i="10"/>
  <c r="S244" i="10"/>
  <c r="R244" i="10"/>
  <c r="Q244" i="10"/>
  <c r="P244" i="10"/>
  <c r="O244" i="10"/>
  <c r="N244" i="10"/>
  <c r="M244" i="10"/>
  <c r="L244" i="10"/>
  <c r="K244" i="10"/>
  <c r="J244" i="10"/>
  <c r="I244" i="10"/>
  <c r="H244" i="10"/>
  <c r="W243" i="10"/>
  <c r="V243" i="10"/>
  <c r="U243" i="10"/>
  <c r="T243" i="10"/>
  <c r="S243" i="10"/>
  <c r="R243" i="10"/>
  <c r="Q243" i="10"/>
  <c r="P243" i="10"/>
  <c r="O243" i="10"/>
  <c r="N243" i="10"/>
  <c r="M243" i="10"/>
  <c r="L243" i="10"/>
  <c r="K243" i="10"/>
  <c r="J243" i="10"/>
  <c r="I243" i="10"/>
  <c r="H243" i="10"/>
  <c r="W242" i="10"/>
  <c r="V242" i="10"/>
  <c r="U242" i="10"/>
  <c r="T242" i="10"/>
  <c r="S242" i="10"/>
  <c r="R242" i="10"/>
  <c r="Q242" i="10"/>
  <c r="P242" i="10"/>
  <c r="O242" i="10"/>
  <c r="N242" i="10"/>
  <c r="M242" i="10"/>
  <c r="L242" i="10"/>
  <c r="K242" i="10"/>
  <c r="J242" i="10"/>
  <c r="I242" i="10"/>
  <c r="H242" i="10"/>
  <c r="W241" i="10"/>
  <c r="V241" i="10"/>
  <c r="U241" i="10"/>
  <c r="T241" i="10"/>
  <c r="S241" i="10"/>
  <c r="R241" i="10"/>
  <c r="Q241" i="10"/>
  <c r="P241" i="10"/>
  <c r="O241" i="10"/>
  <c r="N241" i="10"/>
  <c r="M241" i="10"/>
  <c r="L241" i="10"/>
  <c r="K241" i="10"/>
  <c r="J241" i="10"/>
  <c r="I241" i="10"/>
  <c r="H241" i="10"/>
  <c r="W240" i="10"/>
  <c r="V240" i="10"/>
  <c r="U240" i="10"/>
  <c r="T240" i="10"/>
  <c r="S240" i="10"/>
  <c r="R240" i="10"/>
  <c r="Q240" i="10"/>
  <c r="P240" i="10"/>
  <c r="O240" i="10"/>
  <c r="N240" i="10"/>
  <c r="M240" i="10"/>
  <c r="L240" i="10"/>
  <c r="K240" i="10"/>
  <c r="J240" i="10"/>
  <c r="I240" i="10"/>
  <c r="H240" i="10"/>
  <c r="W239" i="10"/>
  <c r="V239" i="10"/>
  <c r="U239" i="10"/>
  <c r="T239" i="10"/>
  <c r="S239" i="10"/>
  <c r="R239" i="10"/>
  <c r="Q239" i="10"/>
  <c r="P239" i="10"/>
  <c r="O239" i="10"/>
  <c r="N239" i="10"/>
  <c r="M239" i="10"/>
  <c r="L239" i="10"/>
  <c r="K239" i="10"/>
  <c r="J239" i="10"/>
  <c r="I239" i="10"/>
  <c r="H239" i="10"/>
  <c r="W238" i="10"/>
  <c r="V238" i="10"/>
  <c r="U238" i="10"/>
  <c r="T238" i="10"/>
  <c r="S238" i="10"/>
  <c r="R238" i="10"/>
  <c r="Q238" i="10"/>
  <c r="P238" i="10"/>
  <c r="O238" i="10"/>
  <c r="N238" i="10"/>
  <c r="M238" i="10"/>
  <c r="L238" i="10"/>
  <c r="K238" i="10"/>
  <c r="J238" i="10"/>
  <c r="I238" i="10"/>
  <c r="H238" i="10"/>
  <c r="W237" i="10"/>
  <c r="V237" i="10"/>
  <c r="U237" i="10"/>
  <c r="T237" i="10"/>
  <c r="S237" i="10"/>
  <c r="R237" i="10"/>
  <c r="Q237" i="10"/>
  <c r="P237" i="10"/>
  <c r="O237" i="10"/>
  <c r="N237" i="10"/>
  <c r="M237" i="10"/>
  <c r="L237" i="10"/>
  <c r="K237" i="10"/>
  <c r="J237" i="10"/>
  <c r="I237" i="10"/>
  <c r="H237" i="10"/>
  <c r="W236" i="10"/>
  <c r="V236" i="10"/>
  <c r="U236" i="10"/>
  <c r="T236" i="10"/>
  <c r="S236" i="10"/>
  <c r="R236" i="10"/>
  <c r="Q236" i="10"/>
  <c r="P236" i="10"/>
  <c r="O236" i="10"/>
  <c r="N236" i="10"/>
  <c r="M236" i="10"/>
  <c r="L236" i="10"/>
  <c r="K236" i="10"/>
  <c r="J236" i="10"/>
  <c r="I236" i="10"/>
  <c r="H236" i="10"/>
  <c r="W235" i="10"/>
  <c r="V235" i="10"/>
  <c r="U235" i="10"/>
  <c r="T235" i="10"/>
  <c r="S235" i="10"/>
  <c r="R235" i="10"/>
  <c r="Q235" i="10"/>
  <c r="P235" i="10"/>
  <c r="O235" i="10"/>
  <c r="N235" i="10"/>
  <c r="M235" i="10"/>
  <c r="L235" i="10"/>
  <c r="K235" i="10"/>
  <c r="J235" i="10"/>
  <c r="I235" i="10"/>
  <c r="H235" i="10"/>
  <c r="W234" i="10"/>
  <c r="V234" i="10"/>
  <c r="U234" i="10"/>
  <c r="T234" i="10"/>
  <c r="S234" i="10"/>
  <c r="R234" i="10"/>
  <c r="Q234" i="10"/>
  <c r="P234" i="10"/>
  <c r="O234" i="10"/>
  <c r="N234" i="10"/>
  <c r="M234" i="10"/>
  <c r="L234" i="10"/>
  <c r="K234" i="10"/>
  <c r="J234" i="10"/>
  <c r="I234" i="10"/>
  <c r="H234" i="10"/>
  <c r="W233" i="10"/>
  <c r="V233" i="10"/>
  <c r="U233" i="10"/>
  <c r="T233" i="10"/>
  <c r="S233" i="10"/>
  <c r="R233" i="10"/>
  <c r="Q233" i="10"/>
  <c r="P233" i="10"/>
  <c r="O233" i="10"/>
  <c r="N233" i="10"/>
  <c r="M233" i="10"/>
  <c r="L233" i="10"/>
  <c r="K233" i="10"/>
  <c r="J233" i="10"/>
  <c r="I233" i="10"/>
  <c r="H233" i="10"/>
  <c r="W232" i="10"/>
  <c r="V232" i="10"/>
  <c r="U232" i="10"/>
  <c r="T232" i="10"/>
  <c r="S232" i="10"/>
  <c r="R232" i="10"/>
  <c r="Q232" i="10"/>
  <c r="P232" i="10"/>
  <c r="O232" i="10"/>
  <c r="N232" i="10"/>
  <c r="M232" i="10"/>
  <c r="L232" i="10"/>
  <c r="K232" i="10"/>
  <c r="J232" i="10"/>
  <c r="I232" i="10"/>
  <c r="H232" i="10"/>
  <c r="W231" i="10"/>
  <c r="V231" i="10"/>
  <c r="U231" i="10"/>
  <c r="T231" i="10"/>
  <c r="S231" i="10"/>
  <c r="R231" i="10"/>
  <c r="Q231" i="10"/>
  <c r="P231" i="10"/>
  <c r="O231" i="10"/>
  <c r="N231" i="10"/>
  <c r="M231" i="10"/>
  <c r="L231" i="10"/>
  <c r="K231" i="10"/>
  <c r="J231" i="10"/>
  <c r="I231" i="10"/>
  <c r="H231" i="10"/>
  <c r="W230" i="10"/>
  <c r="V230" i="10"/>
  <c r="U230" i="10"/>
  <c r="T230" i="10"/>
  <c r="S230" i="10"/>
  <c r="R230" i="10"/>
  <c r="Q230" i="10"/>
  <c r="P230" i="10"/>
  <c r="O230" i="10"/>
  <c r="N230" i="10"/>
  <c r="M230" i="10"/>
  <c r="L230" i="10"/>
  <c r="K230" i="10"/>
  <c r="J230" i="10"/>
  <c r="I230" i="10"/>
  <c r="H230" i="10"/>
  <c r="W229" i="10"/>
  <c r="V229" i="10"/>
  <c r="U229" i="10"/>
  <c r="T229" i="10"/>
  <c r="S229" i="10"/>
  <c r="R229" i="10"/>
  <c r="Q229" i="10"/>
  <c r="P229" i="10"/>
  <c r="O229" i="10"/>
  <c r="N229" i="10"/>
  <c r="M229" i="10"/>
  <c r="L229" i="10"/>
  <c r="K229" i="10"/>
  <c r="J229" i="10"/>
  <c r="I229" i="10"/>
  <c r="H229" i="10"/>
  <c r="W228" i="10"/>
  <c r="V228" i="10"/>
  <c r="U228" i="10"/>
  <c r="T228" i="10"/>
  <c r="S228" i="10"/>
  <c r="R228" i="10"/>
  <c r="Q228" i="10"/>
  <c r="P228" i="10"/>
  <c r="O228" i="10"/>
  <c r="N228" i="10"/>
  <c r="M228" i="10"/>
  <c r="L228" i="10"/>
  <c r="K228" i="10"/>
  <c r="J228" i="10"/>
  <c r="I228" i="10"/>
  <c r="H228" i="10"/>
  <c r="W227" i="10"/>
  <c r="V227" i="10"/>
  <c r="U227" i="10"/>
  <c r="T227" i="10"/>
  <c r="S227" i="10"/>
  <c r="R227" i="10"/>
  <c r="Q227" i="10"/>
  <c r="P227" i="10"/>
  <c r="O227" i="10"/>
  <c r="N227" i="10"/>
  <c r="M227" i="10"/>
  <c r="L227" i="10"/>
  <c r="K227" i="10"/>
  <c r="J227" i="10"/>
  <c r="I227" i="10"/>
  <c r="H227" i="10"/>
  <c r="W226" i="10"/>
  <c r="V226" i="10"/>
  <c r="U226" i="10"/>
  <c r="T226" i="10"/>
  <c r="S226" i="10"/>
  <c r="R226" i="10"/>
  <c r="Q226" i="10"/>
  <c r="P226" i="10"/>
  <c r="O226" i="10"/>
  <c r="N226" i="10"/>
  <c r="M226" i="10"/>
  <c r="L226" i="10"/>
  <c r="K226" i="10"/>
  <c r="J226" i="10"/>
  <c r="I226" i="10"/>
  <c r="H226" i="10"/>
  <c r="W225" i="10"/>
  <c r="V225" i="10"/>
  <c r="U225" i="10"/>
  <c r="T225" i="10"/>
  <c r="S225" i="10"/>
  <c r="R225" i="10"/>
  <c r="Q225" i="10"/>
  <c r="P225" i="10"/>
  <c r="O225" i="10"/>
  <c r="N225" i="10"/>
  <c r="M225" i="10"/>
  <c r="L225" i="10"/>
  <c r="K225" i="10"/>
  <c r="J225" i="10"/>
  <c r="I225" i="10"/>
  <c r="H225" i="10"/>
  <c r="W224" i="10"/>
  <c r="V224" i="10"/>
  <c r="U224" i="10"/>
  <c r="T224" i="10"/>
  <c r="S224" i="10"/>
  <c r="R224" i="10"/>
  <c r="Q224" i="10"/>
  <c r="P224" i="10"/>
  <c r="O224" i="10"/>
  <c r="N224" i="10"/>
  <c r="M224" i="10"/>
  <c r="L224" i="10"/>
  <c r="K224" i="10"/>
  <c r="J224" i="10"/>
  <c r="I224" i="10"/>
  <c r="H224" i="10"/>
  <c r="W223" i="10"/>
  <c r="V223" i="10"/>
  <c r="U223" i="10"/>
  <c r="T223" i="10"/>
  <c r="S223" i="10"/>
  <c r="R223" i="10"/>
  <c r="Q223" i="10"/>
  <c r="P223" i="10"/>
  <c r="O223" i="10"/>
  <c r="N223" i="10"/>
  <c r="M223" i="10"/>
  <c r="L223" i="10"/>
  <c r="K223" i="10"/>
  <c r="J223" i="10"/>
  <c r="I223" i="10"/>
  <c r="H223" i="10"/>
  <c r="W222" i="10"/>
  <c r="V222" i="10"/>
  <c r="U222" i="10"/>
  <c r="T222" i="10"/>
  <c r="S222" i="10"/>
  <c r="R222" i="10"/>
  <c r="Q222" i="10"/>
  <c r="P222" i="10"/>
  <c r="O222" i="10"/>
  <c r="N222" i="10"/>
  <c r="M222" i="10"/>
  <c r="L222" i="10"/>
  <c r="K222" i="10"/>
  <c r="J222" i="10"/>
  <c r="I222" i="10"/>
  <c r="H222" i="10"/>
  <c r="W221" i="10"/>
  <c r="V221" i="10"/>
  <c r="U221" i="10"/>
  <c r="T221" i="10"/>
  <c r="S221" i="10"/>
  <c r="R221" i="10"/>
  <c r="Q221" i="10"/>
  <c r="P221" i="10"/>
  <c r="O221" i="10"/>
  <c r="N221" i="10"/>
  <c r="M221" i="10"/>
  <c r="L221" i="10"/>
  <c r="K221" i="10"/>
  <c r="J221" i="10"/>
  <c r="I221" i="10"/>
  <c r="H221" i="10"/>
  <c r="W220" i="10"/>
  <c r="V220" i="10"/>
  <c r="U220" i="10"/>
  <c r="T220" i="10"/>
  <c r="S220" i="10"/>
  <c r="R220" i="10"/>
  <c r="Q220" i="10"/>
  <c r="P220" i="10"/>
  <c r="O220" i="10"/>
  <c r="N220" i="10"/>
  <c r="M220" i="10"/>
  <c r="L220" i="10"/>
  <c r="K220" i="10"/>
  <c r="J220" i="10"/>
  <c r="I220" i="10"/>
  <c r="H220" i="10"/>
  <c r="W219" i="10"/>
  <c r="V219" i="10"/>
  <c r="U219" i="10"/>
  <c r="T219" i="10"/>
  <c r="S219" i="10"/>
  <c r="R219" i="10"/>
  <c r="Q219" i="10"/>
  <c r="P219" i="10"/>
  <c r="O219" i="10"/>
  <c r="N219" i="10"/>
  <c r="M219" i="10"/>
  <c r="L219" i="10"/>
  <c r="K219" i="10"/>
  <c r="J219" i="10"/>
  <c r="I219" i="10"/>
  <c r="H219" i="10"/>
  <c r="W218" i="10"/>
  <c r="V218" i="10"/>
  <c r="U218" i="10"/>
  <c r="T218" i="10"/>
  <c r="S218" i="10"/>
  <c r="R218" i="10"/>
  <c r="Q218" i="10"/>
  <c r="P218" i="10"/>
  <c r="O218" i="10"/>
  <c r="N218" i="10"/>
  <c r="M218" i="10"/>
  <c r="L218" i="10"/>
  <c r="K218" i="10"/>
  <c r="J218" i="10"/>
  <c r="I218" i="10"/>
  <c r="H218" i="10"/>
  <c r="W217" i="10"/>
  <c r="V217" i="10"/>
  <c r="U217" i="10"/>
  <c r="T217" i="10"/>
  <c r="S217" i="10"/>
  <c r="R217" i="10"/>
  <c r="Q217" i="10"/>
  <c r="P217" i="10"/>
  <c r="O217" i="10"/>
  <c r="N217" i="10"/>
  <c r="M217" i="10"/>
  <c r="L217" i="10"/>
  <c r="K217" i="10"/>
  <c r="J217" i="10"/>
  <c r="I217" i="10"/>
  <c r="H217" i="10"/>
  <c r="W216" i="10"/>
  <c r="V216" i="10"/>
  <c r="U216" i="10"/>
  <c r="T216" i="10"/>
  <c r="S216" i="10"/>
  <c r="R216" i="10"/>
  <c r="Q216" i="10"/>
  <c r="P216" i="10"/>
  <c r="O216" i="10"/>
  <c r="N216" i="10"/>
  <c r="M216" i="10"/>
  <c r="L216" i="10"/>
  <c r="K216" i="10"/>
  <c r="J216" i="10"/>
  <c r="I216" i="10"/>
  <c r="H216" i="10"/>
  <c r="W215" i="10"/>
  <c r="V215" i="10"/>
  <c r="U215" i="10"/>
  <c r="T215" i="10"/>
  <c r="S215" i="10"/>
  <c r="R215" i="10"/>
  <c r="Q215" i="10"/>
  <c r="P215" i="10"/>
  <c r="O215" i="10"/>
  <c r="N215" i="10"/>
  <c r="M215" i="10"/>
  <c r="L215" i="10"/>
  <c r="K215" i="10"/>
  <c r="J215" i="10"/>
  <c r="I215" i="10"/>
  <c r="H215" i="10"/>
  <c r="W214" i="10"/>
  <c r="V214" i="10"/>
  <c r="U214" i="10"/>
  <c r="T214" i="10"/>
  <c r="S214" i="10"/>
  <c r="R214" i="10"/>
  <c r="Q214" i="10"/>
  <c r="P214" i="10"/>
  <c r="O214" i="10"/>
  <c r="N214" i="10"/>
  <c r="M214" i="10"/>
  <c r="L214" i="10"/>
  <c r="K214" i="10"/>
  <c r="J214" i="10"/>
  <c r="I214" i="10"/>
  <c r="H214" i="10"/>
  <c r="W213" i="10"/>
  <c r="V213" i="10"/>
  <c r="U213" i="10"/>
  <c r="T213" i="10"/>
  <c r="S213" i="10"/>
  <c r="R213" i="10"/>
  <c r="Q213" i="10"/>
  <c r="P213" i="10"/>
  <c r="O213" i="10"/>
  <c r="N213" i="10"/>
  <c r="M213" i="10"/>
  <c r="L213" i="10"/>
  <c r="K213" i="10"/>
  <c r="J213" i="10"/>
  <c r="I213" i="10"/>
  <c r="H213" i="10"/>
  <c r="W212" i="10"/>
  <c r="V212" i="10"/>
  <c r="U212" i="10"/>
  <c r="T212" i="10"/>
  <c r="S212" i="10"/>
  <c r="R212" i="10"/>
  <c r="Q212" i="10"/>
  <c r="P212" i="10"/>
  <c r="O212" i="10"/>
  <c r="N212" i="10"/>
  <c r="M212" i="10"/>
  <c r="L212" i="10"/>
  <c r="K212" i="10"/>
  <c r="J212" i="10"/>
  <c r="I212" i="10"/>
  <c r="H212" i="10"/>
  <c r="W211" i="10"/>
  <c r="V211" i="10"/>
  <c r="U211" i="10"/>
  <c r="T211" i="10"/>
  <c r="S211" i="10"/>
  <c r="R211" i="10"/>
  <c r="Q211" i="10"/>
  <c r="P211" i="10"/>
  <c r="O211" i="10"/>
  <c r="N211" i="10"/>
  <c r="M211" i="10"/>
  <c r="L211" i="10"/>
  <c r="K211" i="10"/>
  <c r="J211" i="10"/>
  <c r="I211" i="10"/>
  <c r="H211" i="10"/>
  <c r="W210" i="10"/>
  <c r="V210" i="10"/>
  <c r="U210" i="10"/>
  <c r="T210" i="10"/>
  <c r="S210" i="10"/>
  <c r="R210" i="10"/>
  <c r="Q210" i="10"/>
  <c r="P210" i="10"/>
  <c r="O210" i="10"/>
  <c r="N210" i="10"/>
  <c r="M210" i="10"/>
  <c r="L210" i="10"/>
  <c r="K210" i="10"/>
  <c r="J210" i="10"/>
  <c r="I210" i="10"/>
  <c r="H210" i="10"/>
  <c r="W209" i="10"/>
  <c r="V209" i="10"/>
  <c r="U209" i="10"/>
  <c r="T209" i="10"/>
  <c r="S209" i="10"/>
  <c r="R209" i="10"/>
  <c r="Q209" i="10"/>
  <c r="P209" i="10"/>
  <c r="O209" i="10"/>
  <c r="N209" i="10"/>
  <c r="M209" i="10"/>
  <c r="L209" i="10"/>
  <c r="K209" i="10"/>
  <c r="J209" i="10"/>
  <c r="I209" i="10"/>
  <c r="H209" i="10"/>
  <c r="W208" i="10"/>
  <c r="V208" i="10"/>
  <c r="U208" i="10"/>
  <c r="T208" i="10"/>
  <c r="S208" i="10"/>
  <c r="R208" i="10"/>
  <c r="Q208" i="10"/>
  <c r="P208" i="10"/>
  <c r="O208" i="10"/>
  <c r="N208" i="10"/>
  <c r="M208" i="10"/>
  <c r="L208" i="10"/>
  <c r="K208" i="10"/>
  <c r="J208" i="10"/>
  <c r="I208" i="10"/>
  <c r="H208" i="10"/>
  <c r="W207" i="10"/>
  <c r="V207" i="10"/>
  <c r="U207" i="10"/>
  <c r="T207" i="10"/>
  <c r="S207" i="10"/>
  <c r="R207" i="10"/>
  <c r="Q207" i="10"/>
  <c r="P207" i="10"/>
  <c r="O207" i="10"/>
  <c r="N207" i="10"/>
  <c r="M207" i="10"/>
  <c r="L207" i="10"/>
  <c r="K207" i="10"/>
  <c r="J207" i="10"/>
  <c r="I207" i="10"/>
  <c r="H207" i="10"/>
  <c r="W206" i="10"/>
  <c r="V206" i="10"/>
  <c r="U206" i="10"/>
  <c r="T206" i="10"/>
  <c r="S206" i="10"/>
  <c r="R206" i="10"/>
  <c r="Q206" i="10"/>
  <c r="P206" i="10"/>
  <c r="O206" i="10"/>
  <c r="N206" i="10"/>
  <c r="M206" i="10"/>
  <c r="L206" i="10"/>
  <c r="K206" i="10"/>
  <c r="J206" i="10"/>
  <c r="I206" i="10"/>
  <c r="H206" i="10"/>
  <c r="W205" i="10"/>
  <c r="V205" i="10"/>
  <c r="U205" i="10"/>
  <c r="T205" i="10"/>
  <c r="S205" i="10"/>
  <c r="R205" i="10"/>
  <c r="Q205" i="10"/>
  <c r="P205" i="10"/>
  <c r="O205" i="10"/>
  <c r="N205" i="10"/>
  <c r="M205" i="10"/>
  <c r="L205" i="10"/>
  <c r="K205" i="10"/>
  <c r="J205" i="10"/>
  <c r="I205" i="10"/>
  <c r="H205" i="10"/>
  <c r="W204" i="10"/>
  <c r="V204" i="10"/>
  <c r="U204" i="10"/>
  <c r="T204" i="10"/>
  <c r="S204" i="10"/>
  <c r="R204" i="10"/>
  <c r="Q204" i="10"/>
  <c r="P204" i="10"/>
  <c r="O204" i="10"/>
  <c r="N204" i="10"/>
  <c r="M204" i="10"/>
  <c r="L204" i="10"/>
  <c r="K204" i="10"/>
  <c r="J204" i="10"/>
  <c r="I204" i="10"/>
  <c r="H204" i="10"/>
  <c r="W203" i="10"/>
  <c r="V203" i="10"/>
  <c r="U203" i="10"/>
  <c r="T203" i="10"/>
  <c r="S203" i="10"/>
  <c r="R203" i="10"/>
  <c r="Q203" i="10"/>
  <c r="P203" i="10"/>
  <c r="O203" i="10"/>
  <c r="N203" i="10"/>
  <c r="M203" i="10"/>
  <c r="L203" i="10"/>
  <c r="K203" i="10"/>
  <c r="J203" i="10"/>
  <c r="I203" i="10"/>
  <c r="H203" i="10"/>
  <c r="W202" i="10"/>
  <c r="V202" i="10"/>
  <c r="U202" i="10"/>
  <c r="T202" i="10"/>
  <c r="S202" i="10"/>
  <c r="R202" i="10"/>
  <c r="Q202" i="10"/>
  <c r="P202" i="10"/>
  <c r="O202" i="10"/>
  <c r="N202" i="10"/>
  <c r="M202" i="10"/>
  <c r="L202" i="10"/>
  <c r="K202" i="10"/>
  <c r="J202" i="10"/>
  <c r="I202" i="10"/>
  <c r="H202" i="10"/>
  <c r="W201" i="10"/>
  <c r="V201" i="10"/>
  <c r="U201" i="10"/>
  <c r="T201" i="10"/>
  <c r="S201" i="10"/>
  <c r="R201" i="10"/>
  <c r="Q201" i="10"/>
  <c r="P201" i="10"/>
  <c r="O201" i="10"/>
  <c r="N201" i="10"/>
  <c r="M201" i="10"/>
  <c r="L201" i="10"/>
  <c r="K201" i="10"/>
  <c r="J201" i="10"/>
  <c r="I201" i="10"/>
  <c r="H201" i="10"/>
  <c r="W200" i="10"/>
  <c r="V200" i="10"/>
  <c r="U200" i="10"/>
  <c r="T200" i="10"/>
  <c r="S200" i="10"/>
  <c r="R200" i="10"/>
  <c r="Q200" i="10"/>
  <c r="P200" i="10"/>
  <c r="O200" i="10"/>
  <c r="N200" i="10"/>
  <c r="M200" i="10"/>
  <c r="L200" i="10"/>
  <c r="K200" i="10"/>
  <c r="J200" i="10"/>
  <c r="I200" i="10"/>
  <c r="H200" i="10"/>
  <c r="W199" i="10"/>
  <c r="V199" i="10"/>
  <c r="U199" i="10"/>
  <c r="T199" i="10"/>
  <c r="S199" i="10"/>
  <c r="R199" i="10"/>
  <c r="Q199" i="10"/>
  <c r="P199" i="10"/>
  <c r="O199" i="10"/>
  <c r="N199" i="10"/>
  <c r="M199" i="10"/>
  <c r="L199" i="10"/>
  <c r="K199" i="10"/>
  <c r="J199" i="10"/>
  <c r="I199" i="10"/>
  <c r="H199" i="10"/>
  <c r="W198" i="10"/>
  <c r="V198" i="10"/>
  <c r="U198" i="10"/>
  <c r="T198" i="10"/>
  <c r="S198" i="10"/>
  <c r="R198" i="10"/>
  <c r="Q198" i="10"/>
  <c r="P198" i="10"/>
  <c r="O198" i="10"/>
  <c r="N198" i="10"/>
  <c r="M198" i="10"/>
  <c r="L198" i="10"/>
  <c r="K198" i="10"/>
  <c r="J198" i="10"/>
  <c r="I198" i="10"/>
  <c r="H198" i="10"/>
  <c r="W197" i="10"/>
  <c r="V197" i="10"/>
  <c r="U197" i="10"/>
  <c r="T197" i="10"/>
  <c r="S197" i="10"/>
  <c r="R197" i="10"/>
  <c r="Q197" i="10"/>
  <c r="P197" i="10"/>
  <c r="O197" i="10"/>
  <c r="N197" i="10"/>
  <c r="M197" i="10"/>
  <c r="L197" i="10"/>
  <c r="K197" i="10"/>
  <c r="J197" i="10"/>
  <c r="I197" i="10"/>
  <c r="H197" i="10"/>
  <c r="W196" i="10"/>
  <c r="V196" i="10"/>
  <c r="U196" i="10"/>
  <c r="T196" i="10"/>
  <c r="S196" i="10"/>
  <c r="R196" i="10"/>
  <c r="Q196" i="10"/>
  <c r="P196" i="10"/>
  <c r="O196" i="10"/>
  <c r="N196" i="10"/>
  <c r="M196" i="10"/>
  <c r="L196" i="10"/>
  <c r="K196" i="10"/>
  <c r="J196" i="10"/>
  <c r="I196" i="10"/>
  <c r="H196" i="10"/>
  <c r="W195" i="10"/>
  <c r="V195" i="10"/>
  <c r="U195" i="10"/>
  <c r="T195" i="10"/>
  <c r="S195" i="10"/>
  <c r="R195" i="10"/>
  <c r="Q195" i="10"/>
  <c r="P195" i="10"/>
  <c r="O195" i="10"/>
  <c r="N195" i="10"/>
  <c r="M195" i="10"/>
  <c r="L195" i="10"/>
  <c r="K195" i="10"/>
  <c r="J195" i="10"/>
  <c r="I195" i="10"/>
  <c r="H195" i="10"/>
  <c r="W194" i="10"/>
  <c r="V194" i="10"/>
  <c r="U194" i="10"/>
  <c r="T194" i="10"/>
  <c r="S194" i="10"/>
  <c r="R194" i="10"/>
  <c r="Q194" i="10"/>
  <c r="P194" i="10"/>
  <c r="O194" i="10"/>
  <c r="N194" i="10"/>
  <c r="M194" i="10"/>
  <c r="L194" i="10"/>
  <c r="K194" i="10"/>
  <c r="J194" i="10"/>
  <c r="I194" i="10"/>
  <c r="H194" i="10"/>
  <c r="W193" i="10"/>
  <c r="V193" i="10"/>
  <c r="U193" i="10"/>
  <c r="T193" i="10"/>
  <c r="S193" i="10"/>
  <c r="R193" i="10"/>
  <c r="Q193" i="10"/>
  <c r="P193" i="10"/>
  <c r="O193" i="10"/>
  <c r="N193" i="10"/>
  <c r="M193" i="10"/>
  <c r="L193" i="10"/>
  <c r="K193" i="10"/>
  <c r="J193" i="10"/>
  <c r="I193" i="10"/>
  <c r="H193" i="10"/>
  <c r="W192" i="10"/>
  <c r="V192" i="10"/>
  <c r="U192" i="10"/>
  <c r="T192" i="10"/>
  <c r="S192" i="10"/>
  <c r="R192" i="10"/>
  <c r="Q192" i="10"/>
  <c r="P192" i="10"/>
  <c r="O192" i="10"/>
  <c r="N192" i="10"/>
  <c r="M192" i="10"/>
  <c r="L192" i="10"/>
  <c r="K192" i="10"/>
  <c r="J192" i="10"/>
  <c r="I192" i="10"/>
  <c r="H192" i="10"/>
  <c r="W191" i="10"/>
  <c r="V191" i="10"/>
  <c r="U191" i="10"/>
  <c r="T191" i="10"/>
  <c r="S191" i="10"/>
  <c r="R191" i="10"/>
  <c r="Q191" i="10"/>
  <c r="P191" i="10"/>
  <c r="O191" i="10"/>
  <c r="N191" i="10"/>
  <c r="M191" i="10"/>
  <c r="L191" i="10"/>
  <c r="K191" i="10"/>
  <c r="J191" i="10"/>
  <c r="I191" i="10"/>
  <c r="H191" i="10"/>
  <c r="W190" i="10"/>
  <c r="V190" i="10"/>
  <c r="U190" i="10"/>
  <c r="T190" i="10"/>
  <c r="S190" i="10"/>
  <c r="R190" i="10"/>
  <c r="Q190" i="10"/>
  <c r="P190" i="10"/>
  <c r="O190" i="10"/>
  <c r="N190" i="10"/>
  <c r="M190" i="10"/>
  <c r="L190" i="10"/>
  <c r="K190" i="10"/>
  <c r="J190" i="10"/>
  <c r="I190" i="10"/>
  <c r="H190" i="10"/>
  <c r="W189" i="10"/>
  <c r="V189" i="10"/>
  <c r="U189" i="10"/>
  <c r="T189" i="10"/>
  <c r="S189" i="10"/>
  <c r="R189" i="10"/>
  <c r="Q189" i="10"/>
  <c r="P189" i="10"/>
  <c r="O189" i="10"/>
  <c r="N189" i="10"/>
  <c r="M189" i="10"/>
  <c r="L189" i="10"/>
  <c r="K189" i="10"/>
  <c r="J189" i="10"/>
  <c r="I189" i="10"/>
  <c r="H189" i="10"/>
  <c r="W188" i="10"/>
  <c r="V188" i="10"/>
  <c r="U188" i="10"/>
  <c r="T188" i="10"/>
  <c r="S188" i="10"/>
  <c r="R188" i="10"/>
  <c r="Q188" i="10"/>
  <c r="P188" i="10"/>
  <c r="O188" i="10"/>
  <c r="N188" i="10"/>
  <c r="M188" i="10"/>
  <c r="L188" i="10"/>
  <c r="K188" i="10"/>
  <c r="J188" i="10"/>
  <c r="I188" i="10"/>
  <c r="H188" i="10"/>
  <c r="W187" i="10"/>
  <c r="V187" i="10"/>
  <c r="U187" i="10"/>
  <c r="T187" i="10"/>
  <c r="S187" i="10"/>
  <c r="R187" i="10"/>
  <c r="Q187" i="10"/>
  <c r="P187" i="10"/>
  <c r="O187" i="10"/>
  <c r="N187" i="10"/>
  <c r="M187" i="10"/>
  <c r="L187" i="10"/>
  <c r="K187" i="10"/>
  <c r="J187" i="10"/>
  <c r="I187" i="10"/>
  <c r="H187" i="10"/>
  <c r="W186" i="10"/>
  <c r="V186" i="10"/>
  <c r="U186" i="10"/>
  <c r="T186" i="10"/>
  <c r="S186" i="10"/>
  <c r="R186" i="10"/>
  <c r="Q186" i="10"/>
  <c r="P186" i="10"/>
  <c r="O186" i="10"/>
  <c r="N186" i="10"/>
  <c r="M186" i="10"/>
  <c r="L186" i="10"/>
  <c r="K186" i="10"/>
  <c r="J186" i="10"/>
  <c r="I186" i="10"/>
  <c r="H186" i="10"/>
  <c r="W185" i="10"/>
  <c r="V185" i="10"/>
  <c r="U185" i="10"/>
  <c r="T185" i="10"/>
  <c r="S185" i="10"/>
  <c r="R185" i="10"/>
  <c r="Q185" i="10"/>
  <c r="P185" i="10"/>
  <c r="O185" i="10"/>
  <c r="N185" i="10"/>
  <c r="M185" i="10"/>
  <c r="L185" i="10"/>
  <c r="K185" i="10"/>
  <c r="J185" i="10"/>
  <c r="I185" i="10"/>
  <c r="H185" i="10"/>
  <c r="W184" i="10"/>
  <c r="V184" i="10"/>
  <c r="U184" i="10"/>
  <c r="T184" i="10"/>
  <c r="S184" i="10"/>
  <c r="R184" i="10"/>
  <c r="Q184" i="10"/>
  <c r="P184" i="10"/>
  <c r="O184" i="10"/>
  <c r="N184" i="10"/>
  <c r="M184" i="10"/>
  <c r="L184" i="10"/>
  <c r="K184" i="10"/>
  <c r="J184" i="10"/>
  <c r="I184" i="10"/>
  <c r="H184" i="10"/>
  <c r="W183" i="10"/>
  <c r="V183" i="10"/>
  <c r="U183" i="10"/>
  <c r="T183" i="10"/>
  <c r="S183" i="10"/>
  <c r="R183" i="10"/>
  <c r="Q183" i="10"/>
  <c r="P183" i="10"/>
  <c r="O183" i="10"/>
  <c r="N183" i="10"/>
  <c r="M183" i="10"/>
  <c r="L183" i="10"/>
  <c r="K183" i="10"/>
  <c r="J183" i="10"/>
  <c r="I183" i="10"/>
  <c r="H183" i="10"/>
  <c r="W182" i="10"/>
  <c r="V182" i="10"/>
  <c r="U182" i="10"/>
  <c r="T182" i="10"/>
  <c r="S182" i="10"/>
  <c r="R182" i="10"/>
  <c r="Q182" i="10"/>
  <c r="P182" i="10"/>
  <c r="O182" i="10"/>
  <c r="N182" i="10"/>
  <c r="M182" i="10"/>
  <c r="L182" i="10"/>
  <c r="K182" i="10"/>
  <c r="J182" i="10"/>
  <c r="I182" i="10"/>
  <c r="H182" i="10"/>
  <c r="W181" i="10"/>
  <c r="V181" i="10"/>
  <c r="U181" i="10"/>
  <c r="T181" i="10"/>
  <c r="S181" i="10"/>
  <c r="R181" i="10"/>
  <c r="Q181" i="10"/>
  <c r="P181" i="10"/>
  <c r="O181" i="10"/>
  <c r="N181" i="10"/>
  <c r="M181" i="10"/>
  <c r="L181" i="10"/>
  <c r="K181" i="10"/>
  <c r="J181" i="10"/>
  <c r="I181" i="10"/>
  <c r="H181" i="10"/>
  <c r="W180" i="10"/>
  <c r="V180" i="10"/>
  <c r="U180" i="10"/>
  <c r="T180" i="10"/>
  <c r="S180" i="10"/>
  <c r="R180" i="10"/>
  <c r="Q180" i="10"/>
  <c r="P180" i="10"/>
  <c r="O180" i="10"/>
  <c r="N180" i="10"/>
  <c r="M180" i="10"/>
  <c r="L180" i="10"/>
  <c r="K180" i="10"/>
  <c r="J180" i="10"/>
  <c r="I180" i="10"/>
  <c r="H180" i="10"/>
  <c r="W179" i="10"/>
  <c r="V179" i="10"/>
  <c r="U179" i="10"/>
  <c r="T179" i="10"/>
  <c r="S179" i="10"/>
  <c r="R179" i="10"/>
  <c r="Q179" i="10"/>
  <c r="P179" i="10"/>
  <c r="O179" i="10"/>
  <c r="N179" i="10"/>
  <c r="M179" i="10"/>
  <c r="L179" i="10"/>
  <c r="K179" i="10"/>
  <c r="J179" i="10"/>
  <c r="I179" i="10"/>
  <c r="H179" i="10"/>
  <c r="W178" i="10"/>
  <c r="V178" i="10"/>
  <c r="U178" i="10"/>
  <c r="T178" i="10"/>
  <c r="S178" i="10"/>
  <c r="R178" i="10"/>
  <c r="Q178" i="10"/>
  <c r="P178" i="10"/>
  <c r="O178" i="10"/>
  <c r="N178" i="10"/>
  <c r="M178" i="10"/>
  <c r="L178" i="10"/>
  <c r="K178" i="10"/>
  <c r="J178" i="10"/>
  <c r="I178" i="10"/>
  <c r="H178" i="10"/>
  <c r="W177" i="10"/>
  <c r="V177" i="10"/>
  <c r="U177" i="10"/>
  <c r="T177" i="10"/>
  <c r="S177" i="10"/>
  <c r="R177" i="10"/>
  <c r="Q177" i="10"/>
  <c r="P177" i="10"/>
  <c r="O177" i="10"/>
  <c r="N177" i="10"/>
  <c r="M177" i="10"/>
  <c r="L177" i="10"/>
  <c r="K177" i="10"/>
  <c r="J177" i="10"/>
  <c r="I177" i="10"/>
  <c r="H177" i="10"/>
  <c r="W176" i="10"/>
  <c r="V176" i="10"/>
  <c r="U176" i="10"/>
  <c r="T176" i="10"/>
  <c r="S176" i="10"/>
  <c r="R176" i="10"/>
  <c r="Q176" i="10"/>
  <c r="P176" i="10"/>
  <c r="O176" i="10"/>
  <c r="N176" i="10"/>
  <c r="M176" i="10"/>
  <c r="L176" i="10"/>
  <c r="K176" i="10"/>
  <c r="J176" i="10"/>
  <c r="I176" i="10"/>
  <c r="H176" i="10"/>
  <c r="W175" i="10"/>
  <c r="V175" i="10"/>
  <c r="U175" i="10"/>
  <c r="T175" i="10"/>
  <c r="S175" i="10"/>
  <c r="R175" i="10"/>
  <c r="Q175" i="10"/>
  <c r="P175" i="10"/>
  <c r="O175" i="10"/>
  <c r="N175" i="10"/>
  <c r="M175" i="10"/>
  <c r="L175" i="10"/>
  <c r="K175" i="10"/>
  <c r="J175" i="10"/>
  <c r="I175" i="10"/>
  <c r="H175" i="10"/>
  <c r="W174" i="10"/>
  <c r="V174" i="10"/>
  <c r="U174" i="10"/>
  <c r="T174" i="10"/>
  <c r="S174" i="10"/>
  <c r="R174" i="10"/>
  <c r="Q174" i="10"/>
  <c r="P174" i="10"/>
  <c r="O174" i="10"/>
  <c r="N174" i="10"/>
  <c r="M174" i="10"/>
  <c r="L174" i="10"/>
  <c r="K174" i="10"/>
  <c r="J174" i="10"/>
  <c r="I174" i="10"/>
  <c r="H174" i="10"/>
  <c r="W173" i="10"/>
  <c r="V173" i="10"/>
  <c r="U173" i="10"/>
  <c r="T173" i="10"/>
  <c r="S173" i="10"/>
  <c r="R173" i="10"/>
  <c r="Q173" i="10"/>
  <c r="P173" i="10"/>
  <c r="O173" i="10"/>
  <c r="N173" i="10"/>
  <c r="M173" i="10"/>
  <c r="L173" i="10"/>
  <c r="K173" i="10"/>
  <c r="J173" i="10"/>
  <c r="I173" i="10"/>
  <c r="H173" i="10"/>
  <c r="W172" i="10"/>
  <c r="V172" i="10"/>
  <c r="U172" i="10"/>
  <c r="T172" i="10"/>
  <c r="S172" i="10"/>
  <c r="R172" i="10"/>
  <c r="Q172" i="10"/>
  <c r="P172" i="10"/>
  <c r="O172" i="10"/>
  <c r="N172" i="10"/>
  <c r="M172" i="10"/>
  <c r="L172" i="10"/>
  <c r="K172" i="10"/>
  <c r="J172" i="10"/>
  <c r="I172" i="10"/>
  <c r="H172" i="10"/>
  <c r="W171" i="10"/>
  <c r="V171" i="10"/>
  <c r="U171" i="10"/>
  <c r="T171" i="10"/>
  <c r="S171" i="10"/>
  <c r="R171" i="10"/>
  <c r="Q171" i="10"/>
  <c r="P171" i="10"/>
  <c r="O171" i="10"/>
  <c r="N171" i="10"/>
  <c r="M171" i="10"/>
  <c r="L171" i="10"/>
  <c r="K171" i="10"/>
  <c r="J171" i="10"/>
  <c r="I171" i="10"/>
  <c r="H171" i="10"/>
  <c r="W170" i="10"/>
  <c r="V170" i="10"/>
  <c r="U170" i="10"/>
  <c r="T170" i="10"/>
  <c r="S170" i="10"/>
  <c r="R170" i="10"/>
  <c r="Q170" i="10"/>
  <c r="P170" i="10"/>
  <c r="O170" i="10"/>
  <c r="N170" i="10"/>
  <c r="M170" i="10"/>
  <c r="L170" i="10"/>
  <c r="K170" i="10"/>
  <c r="J170" i="10"/>
  <c r="I170" i="10"/>
  <c r="H170" i="10"/>
  <c r="W169" i="10"/>
  <c r="V169" i="10"/>
  <c r="U169" i="10"/>
  <c r="T169" i="10"/>
  <c r="S169" i="10"/>
  <c r="R169" i="10"/>
  <c r="Q169" i="10"/>
  <c r="P169" i="10"/>
  <c r="O169" i="10"/>
  <c r="N169" i="10"/>
  <c r="M169" i="10"/>
  <c r="L169" i="10"/>
  <c r="K169" i="10"/>
  <c r="J169" i="10"/>
  <c r="I169" i="10"/>
  <c r="H169" i="10"/>
  <c r="W168" i="10"/>
  <c r="V168" i="10"/>
  <c r="U168" i="10"/>
  <c r="T168" i="10"/>
  <c r="S168" i="10"/>
  <c r="R168" i="10"/>
  <c r="Q168" i="10"/>
  <c r="P168" i="10"/>
  <c r="O168" i="10"/>
  <c r="N168" i="10"/>
  <c r="M168" i="10"/>
  <c r="L168" i="10"/>
  <c r="K168" i="10"/>
  <c r="J168" i="10"/>
  <c r="I168" i="10"/>
  <c r="H168" i="10"/>
  <c r="W167" i="10"/>
  <c r="V167" i="10"/>
  <c r="U167" i="10"/>
  <c r="T167" i="10"/>
  <c r="S167" i="10"/>
  <c r="R167" i="10"/>
  <c r="Q167" i="10"/>
  <c r="P167" i="10"/>
  <c r="O167" i="10"/>
  <c r="N167" i="10"/>
  <c r="M167" i="10"/>
  <c r="L167" i="10"/>
  <c r="K167" i="10"/>
  <c r="J167" i="10"/>
  <c r="I167" i="10"/>
  <c r="H167" i="10"/>
  <c r="W166" i="10"/>
  <c r="V166" i="10"/>
  <c r="U166" i="10"/>
  <c r="T166" i="10"/>
  <c r="S166" i="10"/>
  <c r="R166" i="10"/>
  <c r="Q166" i="10"/>
  <c r="P166" i="10"/>
  <c r="O166" i="10"/>
  <c r="N166" i="10"/>
  <c r="M166" i="10"/>
  <c r="L166" i="10"/>
  <c r="K166" i="10"/>
  <c r="J166" i="10"/>
  <c r="I166" i="10"/>
  <c r="H166" i="10"/>
  <c r="W165" i="10"/>
  <c r="V165" i="10"/>
  <c r="U165" i="10"/>
  <c r="T165" i="10"/>
  <c r="S165" i="10"/>
  <c r="R165" i="10"/>
  <c r="Q165" i="10"/>
  <c r="P165" i="10"/>
  <c r="O165" i="10"/>
  <c r="N165" i="10"/>
  <c r="M165" i="10"/>
  <c r="L165" i="10"/>
  <c r="K165" i="10"/>
  <c r="J165" i="10"/>
  <c r="I165" i="10"/>
  <c r="H165" i="10"/>
  <c r="W164" i="10"/>
  <c r="V164" i="10"/>
  <c r="U164" i="10"/>
  <c r="T164" i="10"/>
  <c r="S164" i="10"/>
  <c r="R164" i="10"/>
  <c r="Q164" i="10"/>
  <c r="P164" i="10"/>
  <c r="O164" i="10"/>
  <c r="N164" i="10"/>
  <c r="M164" i="10"/>
  <c r="L164" i="10"/>
  <c r="K164" i="10"/>
  <c r="J164" i="10"/>
  <c r="I164" i="10"/>
  <c r="H164" i="10"/>
  <c r="W163" i="10"/>
  <c r="V163" i="10"/>
  <c r="U163" i="10"/>
  <c r="T163" i="10"/>
  <c r="S163" i="10"/>
  <c r="R163" i="10"/>
  <c r="Q163" i="10"/>
  <c r="P163" i="10"/>
  <c r="O163" i="10"/>
  <c r="N163" i="10"/>
  <c r="M163" i="10"/>
  <c r="L163" i="10"/>
  <c r="K163" i="10"/>
  <c r="J163" i="10"/>
  <c r="I163" i="10"/>
  <c r="H163" i="10"/>
  <c r="W162" i="10"/>
  <c r="V162" i="10"/>
  <c r="U162" i="10"/>
  <c r="T162" i="10"/>
  <c r="S162" i="10"/>
  <c r="R162" i="10"/>
  <c r="Q162" i="10"/>
  <c r="P162" i="10"/>
  <c r="O162" i="10"/>
  <c r="N162" i="10"/>
  <c r="M162" i="10"/>
  <c r="L162" i="10"/>
  <c r="K162" i="10"/>
  <c r="J162" i="10"/>
  <c r="I162" i="10"/>
  <c r="H162" i="10"/>
  <c r="W161" i="10"/>
  <c r="V161" i="10"/>
  <c r="U161" i="10"/>
  <c r="T161" i="10"/>
  <c r="S161" i="10"/>
  <c r="R161" i="10"/>
  <c r="Q161" i="10"/>
  <c r="P161" i="10"/>
  <c r="O161" i="10"/>
  <c r="N161" i="10"/>
  <c r="M161" i="10"/>
  <c r="L161" i="10"/>
  <c r="K161" i="10"/>
  <c r="J161" i="10"/>
  <c r="I161" i="10"/>
  <c r="H161" i="10"/>
  <c r="W160" i="10"/>
  <c r="V160" i="10"/>
  <c r="U160" i="10"/>
  <c r="T160" i="10"/>
  <c r="S160" i="10"/>
  <c r="R160" i="10"/>
  <c r="Q160" i="10"/>
  <c r="P160" i="10"/>
  <c r="O160" i="10"/>
  <c r="N160" i="10"/>
  <c r="M160" i="10"/>
  <c r="L160" i="10"/>
  <c r="K160" i="10"/>
  <c r="J160" i="10"/>
  <c r="I160" i="10"/>
  <c r="H160" i="10"/>
  <c r="W159" i="10"/>
  <c r="V159" i="10"/>
  <c r="U159" i="10"/>
  <c r="T159" i="10"/>
  <c r="S159" i="10"/>
  <c r="R159" i="10"/>
  <c r="Q159" i="10"/>
  <c r="P159" i="10"/>
  <c r="O159" i="10"/>
  <c r="N159" i="10"/>
  <c r="M159" i="10"/>
  <c r="L159" i="10"/>
  <c r="K159" i="10"/>
  <c r="J159" i="10"/>
  <c r="I159" i="10"/>
  <c r="H159" i="10"/>
  <c r="W158" i="10"/>
  <c r="V158" i="10"/>
  <c r="U158" i="10"/>
  <c r="T158" i="10"/>
  <c r="S158" i="10"/>
  <c r="R158" i="10"/>
  <c r="Q158" i="10"/>
  <c r="P158" i="10"/>
  <c r="O158" i="10"/>
  <c r="N158" i="10"/>
  <c r="M158" i="10"/>
  <c r="L158" i="10"/>
  <c r="K158" i="10"/>
  <c r="J158" i="10"/>
  <c r="I158" i="10"/>
  <c r="H158" i="10"/>
  <c r="W157" i="10"/>
  <c r="V157" i="10"/>
  <c r="U157" i="10"/>
  <c r="T157" i="10"/>
  <c r="S157" i="10"/>
  <c r="R157" i="10"/>
  <c r="Q157" i="10"/>
  <c r="P157" i="10"/>
  <c r="O157" i="10"/>
  <c r="N157" i="10"/>
  <c r="M157" i="10"/>
  <c r="L157" i="10"/>
  <c r="K157" i="10"/>
  <c r="J157" i="10"/>
  <c r="I157" i="10"/>
  <c r="H157" i="10"/>
  <c r="W156" i="10"/>
  <c r="V156" i="10"/>
  <c r="U156" i="10"/>
  <c r="T156" i="10"/>
  <c r="S156" i="10"/>
  <c r="R156" i="10"/>
  <c r="Q156" i="10"/>
  <c r="P156" i="10"/>
  <c r="O156" i="10"/>
  <c r="N156" i="10"/>
  <c r="M156" i="10"/>
  <c r="L156" i="10"/>
  <c r="K156" i="10"/>
  <c r="J156" i="10"/>
  <c r="I156" i="10"/>
  <c r="H156" i="10"/>
  <c r="W155" i="10"/>
  <c r="V155" i="10"/>
  <c r="U155" i="10"/>
  <c r="T155" i="10"/>
  <c r="S155" i="10"/>
  <c r="R155" i="10"/>
  <c r="Q155" i="10"/>
  <c r="P155" i="10"/>
  <c r="O155" i="10"/>
  <c r="N155" i="10"/>
  <c r="M155" i="10"/>
  <c r="L155" i="10"/>
  <c r="K155" i="10"/>
  <c r="J155" i="10"/>
  <c r="I155" i="10"/>
  <c r="H155" i="10"/>
  <c r="W154" i="10"/>
  <c r="V154" i="10"/>
  <c r="U154" i="10"/>
  <c r="T154" i="10"/>
  <c r="S154" i="10"/>
  <c r="R154" i="10"/>
  <c r="Q154" i="10"/>
  <c r="P154" i="10"/>
  <c r="O154" i="10"/>
  <c r="N154" i="10"/>
  <c r="M154" i="10"/>
  <c r="L154" i="10"/>
  <c r="K154" i="10"/>
  <c r="J154" i="10"/>
  <c r="I154" i="10"/>
  <c r="H154" i="10"/>
  <c r="W153" i="10"/>
  <c r="V153" i="10"/>
  <c r="U153" i="10"/>
  <c r="T153" i="10"/>
  <c r="S153" i="10"/>
  <c r="R153" i="10"/>
  <c r="Q153" i="10"/>
  <c r="P153" i="10"/>
  <c r="O153" i="10"/>
  <c r="N153" i="10"/>
  <c r="M153" i="10"/>
  <c r="L153" i="10"/>
  <c r="K153" i="10"/>
  <c r="J153" i="10"/>
  <c r="I153" i="10"/>
  <c r="H153" i="10"/>
  <c r="W152" i="10"/>
  <c r="V152" i="10"/>
  <c r="U152" i="10"/>
  <c r="T152" i="10"/>
  <c r="S152" i="10"/>
  <c r="R152" i="10"/>
  <c r="Q152" i="10"/>
  <c r="P152" i="10"/>
  <c r="O152" i="10"/>
  <c r="N152" i="10"/>
  <c r="M152" i="10"/>
  <c r="L152" i="10"/>
  <c r="K152" i="10"/>
  <c r="J152" i="10"/>
  <c r="I152" i="10"/>
  <c r="H152" i="10"/>
  <c r="W151" i="10"/>
  <c r="V151" i="10"/>
  <c r="U151" i="10"/>
  <c r="T151" i="10"/>
  <c r="S151" i="10"/>
  <c r="R151" i="10"/>
  <c r="Q151" i="10"/>
  <c r="P151" i="10"/>
  <c r="O151" i="10"/>
  <c r="N151" i="10"/>
  <c r="M151" i="10"/>
  <c r="L151" i="10"/>
  <c r="K151" i="10"/>
  <c r="J151" i="10"/>
  <c r="I151" i="10"/>
  <c r="H151" i="10"/>
  <c r="W150" i="10"/>
  <c r="V150" i="10"/>
  <c r="U150" i="10"/>
  <c r="T150" i="10"/>
  <c r="S150" i="10"/>
  <c r="R150" i="10"/>
  <c r="Q150" i="10"/>
  <c r="P150" i="10"/>
  <c r="O150" i="10"/>
  <c r="N150" i="10"/>
  <c r="M150" i="10"/>
  <c r="L150" i="10"/>
  <c r="K150" i="10"/>
  <c r="J150" i="10"/>
  <c r="I150" i="10"/>
  <c r="H150" i="10"/>
  <c r="W149" i="10"/>
  <c r="V149" i="10"/>
  <c r="U149" i="10"/>
  <c r="T149" i="10"/>
  <c r="S149" i="10"/>
  <c r="R149" i="10"/>
  <c r="Q149" i="10"/>
  <c r="P149" i="10"/>
  <c r="O149" i="10"/>
  <c r="N149" i="10"/>
  <c r="M149" i="10"/>
  <c r="L149" i="10"/>
  <c r="K149" i="10"/>
  <c r="J149" i="10"/>
  <c r="I149" i="10"/>
  <c r="H149" i="10"/>
  <c r="W148" i="10"/>
  <c r="V148" i="10"/>
  <c r="U148" i="10"/>
  <c r="T148" i="10"/>
  <c r="S148" i="10"/>
  <c r="R148" i="10"/>
  <c r="Q148" i="10"/>
  <c r="P148" i="10"/>
  <c r="O148" i="10"/>
  <c r="N148" i="10"/>
  <c r="M148" i="10"/>
  <c r="L148" i="10"/>
  <c r="K148" i="10"/>
  <c r="J148" i="10"/>
  <c r="I148" i="10"/>
  <c r="H148" i="10"/>
  <c r="W147" i="10"/>
  <c r="V147" i="10"/>
  <c r="U147" i="10"/>
  <c r="T147" i="10"/>
  <c r="S147" i="10"/>
  <c r="R147" i="10"/>
  <c r="Q147" i="10"/>
  <c r="P147" i="10"/>
  <c r="O147" i="10"/>
  <c r="N147" i="10"/>
  <c r="M147" i="10"/>
  <c r="L147" i="10"/>
  <c r="K147" i="10"/>
  <c r="J147" i="10"/>
  <c r="I147" i="10"/>
  <c r="H147" i="10"/>
  <c r="W146" i="10"/>
  <c r="V146" i="10"/>
  <c r="U146" i="10"/>
  <c r="T146" i="10"/>
  <c r="S146" i="10"/>
  <c r="R146" i="10"/>
  <c r="Q146" i="10"/>
  <c r="P146" i="10"/>
  <c r="O146" i="10"/>
  <c r="N146" i="10"/>
  <c r="M146" i="10"/>
  <c r="L146" i="10"/>
  <c r="K146" i="10"/>
  <c r="J146" i="10"/>
  <c r="I146" i="10"/>
  <c r="H146" i="10"/>
  <c r="W145" i="10"/>
  <c r="V145" i="10"/>
  <c r="U145" i="10"/>
  <c r="T145" i="10"/>
  <c r="S145" i="10"/>
  <c r="R145" i="10"/>
  <c r="Q145" i="10"/>
  <c r="P145" i="10"/>
  <c r="O145" i="10"/>
  <c r="N145" i="10"/>
  <c r="M145" i="10"/>
  <c r="L145" i="10"/>
  <c r="K145" i="10"/>
  <c r="J145" i="10"/>
  <c r="I145" i="10"/>
  <c r="H145" i="10"/>
  <c r="W144" i="10"/>
  <c r="V144" i="10"/>
  <c r="U144" i="10"/>
  <c r="T144" i="10"/>
  <c r="S144" i="10"/>
  <c r="R144" i="10"/>
  <c r="Q144" i="10"/>
  <c r="P144" i="10"/>
  <c r="O144" i="10"/>
  <c r="N144" i="10"/>
  <c r="M144" i="10"/>
  <c r="L144" i="10"/>
  <c r="K144" i="10"/>
  <c r="J144" i="10"/>
  <c r="I144" i="10"/>
  <c r="H144" i="10"/>
  <c r="W143" i="10"/>
  <c r="V143" i="10"/>
  <c r="U143" i="10"/>
  <c r="T143" i="10"/>
  <c r="S143" i="10"/>
  <c r="R143" i="10"/>
  <c r="Q143" i="10"/>
  <c r="P143" i="10"/>
  <c r="O143" i="10"/>
  <c r="N143" i="10"/>
  <c r="M143" i="10"/>
  <c r="L143" i="10"/>
  <c r="K143" i="10"/>
  <c r="J143" i="10"/>
  <c r="I143" i="10"/>
  <c r="H143" i="10"/>
  <c r="W142" i="10"/>
  <c r="V142" i="10"/>
  <c r="U142" i="10"/>
  <c r="T142" i="10"/>
  <c r="S142" i="10"/>
  <c r="R142" i="10"/>
  <c r="Q142" i="10"/>
  <c r="P142" i="10"/>
  <c r="O142" i="10"/>
  <c r="N142" i="10"/>
  <c r="M142" i="10"/>
  <c r="L142" i="10"/>
  <c r="K142" i="10"/>
  <c r="J142" i="10"/>
  <c r="I142" i="10"/>
  <c r="H142" i="10"/>
  <c r="W141" i="10"/>
  <c r="V141" i="10"/>
  <c r="U141" i="10"/>
  <c r="T141" i="10"/>
  <c r="S141" i="10"/>
  <c r="R141" i="10"/>
  <c r="Q141" i="10"/>
  <c r="P141" i="10"/>
  <c r="O141" i="10"/>
  <c r="N141" i="10"/>
  <c r="M141" i="10"/>
  <c r="L141" i="10"/>
  <c r="K141" i="10"/>
  <c r="J141" i="10"/>
  <c r="I141" i="10"/>
  <c r="H141" i="10"/>
  <c r="W140" i="10"/>
  <c r="V140" i="10"/>
  <c r="U140" i="10"/>
  <c r="T140" i="10"/>
  <c r="S140" i="10"/>
  <c r="R140" i="10"/>
  <c r="Q140" i="10"/>
  <c r="P140" i="10"/>
  <c r="O140" i="10"/>
  <c r="N140" i="10"/>
  <c r="M140" i="10"/>
  <c r="L140" i="10"/>
  <c r="K140" i="10"/>
  <c r="J140" i="10"/>
  <c r="I140" i="10"/>
  <c r="H140" i="10"/>
  <c r="W139" i="10"/>
  <c r="V139" i="10"/>
  <c r="U139" i="10"/>
  <c r="T139" i="10"/>
  <c r="S139" i="10"/>
  <c r="R139" i="10"/>
  <c r="Q139" i="10"/>
  <c r="P139" i="10"/>
  <c r="O139" i="10"/>
  <c r="N139" i="10"/>
  <c r="M139" i="10"/>
  <c r="L139" i="10"/>
  <c r="K139" i="10"/>
  <c r="J139" i="10"/>
  <c r="I139" i="10"/>
  <c r="H139" i="10"/>
  <c r="W138" i="10"/>
  <c r="V138" i="10"/>
  <c r="U138" i="10"/>
  <c r="T138" i="10"/>
  <c r="S138" i="10"/>
  <c r="R138" i="10"/>
  <c r="Q138" i="10"/>
  <c r="P138" i="10"/>
  <c r="O138" i="10"/>
  <c r="N138" i="10"/>
  <c r="M138" i="10"/>
  <c r="L138" i="10"/>
  <c r="K138" i="10"/>
  <c r="J138" i="10"/>
  <c r="I138" i="10"/>
  <c r="H138" i="10"/>
  <c r="W137" i="10"/>
  <c r="V137" i="10"/>
  <c r="U137" i="10"/>
  <c r="T137" i="10"/>
  <c r="S137" i="10"/>
  <c r="R137" i="10"/>
  <c r="Q137" i="10"/>
  <c r="P137" i="10"/>
  <c r="O137" i="10"/>
  <c r="N137" i="10"/>
  <c r="M137" i="10"/>
  <c r="L137" i="10"/>
  <c r="K137" i="10"/>
  <c r="J137" i="10"/>
  <c r="I137" i="10"/>
  <c r="H137" i="10"/>
  <c r="W136" i="10"/>
  <c r="V136" i="10"/>
  <c r="U136" i="10"/>
  <c r="T136" i="10"/>
  <c r="S136" i="10"/>
  <c r="R136" i="10"/>
  <c r="Q136" i="10"/>
  <c r="P136" i="10"/>
  <c r="O136" i="10"/>
  <c r="N136" i="10"/>
  <c r="M136" i="10"/>
  <c r="L136" i="10"/>
  <c r="K136" i="10"/>
  <c r="J136" i="10"/>
  <c r="I136" i="10"/>
  <c r="H136" i="10"/>
  <c r="W135" i="10"/>
  <c r="V135" i="10"/>
  <c r="U135" i="10"/>
  <c r="T135" i="10"/>
  <c r="S135" i="10"/>
  <c r="R135" i="10"/>
  <c r="Q135" i="10"/>
  <c r="P135" i="10"/>
  <c r="O135" i="10"/>
  <c r="N135" i="10"/>
  <c r="M135" i="10"/>
  <c r="L135" i="10"/>
  <c r="K135" i="10"/>
  <c r="J135" i="10"/>
  <c r="I135" i="10"/>
  <c r="H135" i="10"/>
  <c r="W134" i="10"/>
  <c r="V134" i="10"/>
  <c r="U134" i="10"/>
  <c r="T134" i="10"/>
  <c r="S134" i="10"/>
  <c r="R134" i="10"/>
  <c r="Q134" i="10"/>
  <c r="P134" i="10"/>
  <c r="O134" i="10"/>
  <c r="N134" i="10"/>
  <c r="M134" i="10"/>
  <c r="L134" i="10"/>
  <c r="K134" i="10"/>
  <c r="J134" i="10"/>
  <c r="I134" i="10"/>
  <c r="H134" i="10"/>
  <c r="W133" i="10"/>
  <c r="V133" i="10"/>
  <c r="U133" i="10"/>
  <c r="T133" i="10"/>
  <c r="S133" i="10"/>
  <c r="R133" i="10"/>
  <c r="Q133" i="10"/>
  <c r="P133" i="10"/>
  <c r="O133" i="10"/>
  <c r="N133" i="10"/>
  <c r="M133" i="10"/>
  <c r="L133" i="10"/>
  <c r="K133" i="10"/>
  <c r="J133" i="10"/>
  <c r="I133" i="10"/>
  <c r="H133" i="10"/>
  <c r="W132" i="10"/>
  <c r="V132" i="10"/>
  <c r="U132" i="10"/>
  <c r="T132" i="10"/>
  <c r="S132" i="10"/>
  <c r="R132" i="10"/>
  <c r="Q132" i="10"/>
  <c r="P132" i="10"/>
  <c r="O132" i="10"/>
  <c r="N132" i="10"/>
  <c r="M132" i="10"/>
  <c r="L132" i="10"/>
  <c r="K132" i="10"/>
  <c r="J132" i="10"/>
  <c r="I132" i="10"/>
  <c r="H132" i="10"/>
  <c r="W131" i="10"/>
  <c r="V131" i="10"/>
  <c r="U131" i="10"/>
  <c r="T131" i="10"/>
  <c r="S131" i="10"/>
  <c r="R131" i="10"/>
  <c r="Q131" i="10"/>
  <c r="P131" i="10"/>
  <c r="O131" i="10"/>
  <c r="N131" i="10"/>
  <c r="M131" i="10"/>
  <c r="L131" i="10"/>
  <c r="K131" i="10"/>
  <c r="J131" i="10"/>
  <c r="I131" i="10"/>
  <c r="H131" i="10"/>
  <c r="W130" i="10"/>
  <c r="V130" i="10"/>
  <c r="U130" i="10"/>
  <c r="T130" i="10"/>
  <c r="S130" i="10"/>
  <c r="R130" i="10"/>
  <c r="Q130" i="10"/>
  <c r="P130" i="10"/>
  <c r="O130" i="10"/>
  <c r="N130" i="10"/>
  <c r="M130" i="10"/>
  <c r="L130" i="10"/>
  <c r="K130" i="10"/>
  <c r="J130" i="10"/>
  <c r="I130" i="10"/>
  <c r="H130" i="10"/>
  <c r="W129" i="10"/>
  <c r="V129" i="10"/>
  <c r="U129" i="10"/>
  <c r="T129" i="10"/>
  <c r="S129" i="10"/>
  <c r="R129" i="10"/>
  <c r="Q129" i="10"/>
  <c r="P129" i="10"/>
  <c r="O129" i="10"/>
  <c r="N129" i="10"/>
  <c r="M129" i="10"/>
  <c r="L129" i="10"/>
  <c r="K129" i="10"/>
  <c r="J129" i="10"/>
  <c r="I129" i="10"/>
  <c r="H129" i="10"/>
  <c r="W128" i="10"/>
  <c r="V128" i="10"/>
  <c r="U128" i="10"/>
  <c r="T128" i="10"/>
  <c r="S128" i="10"/>
  <c r="R128" i="10"/>
  <c r="Q128" i="10"/>
  <c r="P128" i="10"/>
  <c r="O128" i="10"/>
  <c r="N128" i="10"/>
  <c r="M128" i="10"/>
  <c r="L128" i="10"/>
  <c r="K128" i="10"/>
  <c r="J128" i="10"/>
  <c r="I128" i="10"/>
  <c r="H128" i="10"/>
  <c r="W127" i="10"/>
  <c r="V127" i="10"/>
  <c r="U127" i="10"/>
  <c r="T127" i="10"/>
  <c r="S127" i="10"/>
  <c r="R127" i="10"/>
  <c r="Q127" i="10"/>
  <c r="P127" i="10"/>
  <c r="O127" i="10"/>
  <c r="N127" i="10"/>
  <c r="M127" i="10"/>
  <c r="L127" i="10"/>
  <c r="K127" i="10"/>
  <c r="J127" i="10"/>
  <c r="I127" i="10"/>
  <c r="H127" i="10"/>
  <c r="W126" i="10"/>
  <c r="V126" i="10"/>
  <c r="U126" i="10"/>
  <c r="T126" i="10"/>
  <c r="S126" i="10"/>
  <c r="R126" i="10"/>
  <c r="Q126" i="10"/>
  <c r="P126" i="10"/>
  <c r="O126" i="10"/>
  <c r="N126" i="10"/>
  <c r="M126" i="10"/>
  <c r="L126" i="10"/>
  <c r="K126" i="10"/>
  <c r="J126" i="10"/>
  <c r="I126" i="10"/>
  <c r="H126" i="10"/>
  <c r="W125" i="10"/>
  <c r="V125" i="10"/>
  <c r="U125" i="10"/>
  <c r="T125" i="10"/>
  <c r="S125" i="10"/>
  <c r="R125" i="10"/>
  <c r="Q125" i="10"/>
  <c r="P125" i="10"/>
  <c r="O125" i="10"/>
  <c r="N125" i="10"/>
  <c r="M125" i="10"/>
  <c r="L125" i="10"/>
  <c r="K125" i="10"/>
  <c r="J125" i="10"/>
  <c r="I125" i="10"/>
  <c r="H125" i="10"/>
  <c r="W124" i="10"/>
  <c r="V124" i="10"/>
  <c r="U124" i="10"/>
  <c r="T124" i="10"/>
  <c r="S124" i="10"/>
  <c r="R124" i="10"/>
  <c r="Q124" i="10"/>
  <c r="P124" i="10"/>
  <c r="O124" i="10"/>
  <c r="N124" i="10"/>
  <c r="M124" i="10"/>
  <c r="L124" i="10"/>
  <c r="K124" i="10"/>
  <c r="J124" i="10"/>
  <c r="I124" i="10"/>
  <c r="H124" i="10"/>
  <c r="W123" i="10"/>
  <c r="V123" i="10"/>
  <c r="U123" i="10"/>
  <c r="T123" i="10"/>
  <c r="S123" i="10"/>
  <c r="R123" i="10"/>
  <c r="Q123" i="10"/>
  <c r="P123" i="10"/>
  <c r="O123" i="10"/>
  <c r="N123" i="10"/>
  <c r="M123" i="10"/>
  <c r="L123" i="10"/>
  <c r="K123" i="10"/>
  <c r="J123" i="10"/>
  <c r="I123" i="10"/>
  <c r="H123" i="10"/>
  <c r="W122" i="10"/>
  <c r="V122" i="10"/>
  <c r="U122" i="10"/>
  <c r="T122" i="10"/>
  <c r="S122" i="10"/>
  <c r="R122" i="10"/>
  <c r="Q122" i="10"/>
  <c r="P122" i="10"/>
  <c r="O122" i="10"/>
  <c r="N122" i="10"/>
  <c r="M122" i="10"/>
  <c r="L122" i="10"/>
  <c r="K122" i="10"/>
  <c r="J122" i="10"/>
  <c r="I122" i="10"/>
  <c r="H122" i="10"/>
  <c r="W121" i="10"/>
  <c r="V121" i="10"/>
  <c r="U121" i="10"/>
  <c r="T121" i="10"/>
  <c r="S121" i="10"/>
  <c r="R121" i="10"/>
  <c r="Q121" i="10"/>
  <c r="P121" i="10"/>
  <c r="O121" i="10"/>
  <c r="N121" i="10"/>
  <c r="M121" i="10"/>
  <c r="L121" i="10"/>
  <c r="K121" i="10"/>
  <c r="J121" i="10"/>
  <c r="I121" i="10"/>
  <c r="H121" i="10"/>
  <c r="W120" i="10"/>
  <c r="V120" i="10"/>
  <c r="U120" i="10"/>
  <c r="T120" i="10"/>
  <c r="S120" i="10"/>
  <c r="R120" i="10"/>
  <c r="Q120" i="10"/>
  <c r="P120" i="10"/>
  <c r="O120" i="10"/>
  <c r="N120" i="10"/>
  <c r="M120" i="10"/>
  <c r="L120" i="10"/>
  <c r="K120" i="10"/>
  <c r="J120" i="10"/>
  <c r="I120" i="10"/>
  <c r="H120" i="10"/>
  <c r="W119" i="10"/>
  <c r="V119" i="10"/>
  <c r="U119" i="10"/>
  <c r="T119" i="10"/>
  <c r="S119" i="10"/>
  <c r="R119" i="10"/>
  <c r="Q119" i="10"/>
  <c r="P119" i="10"/>
  <c r="O119" i="10"/>
  <c r="N119" i="10"/>
  <c r="M119" i="10"/>
  <c r="L119" i="10"/>
  <c r="K119" i="10"/>
  <c r="J119" i="10"/>
  <c r="I119" i="10"/>
  <c r="H119" i="10"/>
  <c r="W118" i="10"/>
  <c r="V118" i="10"/>
  <c r="U118" i="10"/>
  <c r="T118" i="10"/>
  <c r="S118" i="10"/>
  <c r="R118" i="10"/>
  <c r="Q118" i="10"/>
  <c r="P118" i="10"/>
  <c r="O118" i="10"/>
  <c r="N118" i="10"/>
  <c r="M118" i="10"/>
  <c r="L118" i="10"/>
  <c r="K118" i="10"/>
  <c r="J118" i="10"/>
  <c r="I118" i="10"/>
  <c r="H118" i="10"/>
  <c r="W117" i="10"/>
  <c r="V117" i="10"/>
  <c r="U117" i="10"/>
  <c r="T117" i="10"/>
  <c r="S117" i="10"/>
  <c r="R117" i="10"/>
  <c r="Q117" i="10"/>
  <c r="P117" i="10"/>
  <c r="O117" i="10"/>
  <c r="N117" i="10"/>
  <c r="M117" i="10"/>
  <c r="L117" i="10"/>
  <c r="K117" i="10"/>
  <c r="J117" i="10"/>
  <c r="I117" i="10"/>
  <c r="H117" i="10"/>
  <c r="W116" i="10"/>
  <c r="V116" i="10"/>
  <c r="U116" i="10"/>
  <c r="T116" i="10"/>
  <c r="S116" i="10"/>
  <c r="R116" i="10"/>
  <c r="Q116" i="10"/>
  <c r="P116" i="10"/>
  <c r="O116" i="10"/>
  <c r="N116" i="10"/>
  <c r="M116" i="10"/>
  <c r="L116" i="10"/>
  <c r="K116" i="10"/>
  <c r="J116" i="10"/>
  <c r="I116" i="10"/>
  <c r="H116" i="10"/>
  <c r="W115" i="10"/>
  <c r="V115" i="10"/>
  <c r="U115" i="10"/>
  <c r="T115" i="10"/>
  <c r="S115" i="10"/>
  <c r="R115" i="10"/>
  <c r="Q115" i="10"/>
  <c r="P115" i="10"/>
  <c r="O115" i="10"/>
  <c r="N115" i="10"/>
  <c r="M115" i="10"/>
  <c r="L115" i="10"/>
  <c r="K115" i="10"/>
  <c r="J115" i="10"/>
  <c r="I115" i="10"/>
  <c r="H115" i="10"/>
  <c r="W114" i="10"/>
  <c r="V114" i="10"/>
  <c r="U114" i="10"/>
  <c r="T114" i="10"/>
  <c r="S114" i="10"/>
  <c r="R114" i="10"/>
  <c r="Q114" i="10"/>
  <c r="P114" i="10"/>
  <c r="O114" i="10"/>
  <c r="N114" i="10"/>
  <c r="M114" i="10"/>
  <c r="L114" i="10"/>
  <c r="K114" i="10"/>
  <c r="J114" i="10"/>
  <c r="I114" i="10"/>
  <c r="H114" i="10"/>
  <c r="W113" i="10"/>
  <c r="V113" i="10"/>
  <c r="U113" i="10"/>
  <c r="T113" i="10"/>
  <c r="S113" i="10"/>
  <c r="R113" i="10"/>
  <c r="Q113" i="10"/>
  <c r="P113" i="10"/>
  <c r="O113" i="10"/>
  <c r="N113" i="10"/>
  <c r="M113" i="10"/>
  <c r="L113" i="10"/>
  <c r="K113" i="10"/>
  <c r="J113" i="10"/>
  <c r="I113" i="10"/>
  <c r="H113" i="10"/>
  <c r="W112" i="10"/>
  <c r="V112" i="10"/>
  <c r="U112" i="10"/>
  <c r="T112" i="10"/>
  <c r="S112" i="10"/>
  <c r="R112" i="10"/>
  <c r="Q112" i="10"/>
  <c r="P112" i="10"/>
  <c r="O112" i="10"/>
  <c r="N112" i="10"/>
  <c r="M112" i="10"/>
  <c r="L112" i="10"/>
  <c r="K112" i="10"/>
  <c r="J112" i="10"/>
  <c r="I112" i="10"/>
  <c r="H112" i="10"/>
  <c r="W111" i="10"/>
  <c r="V111" i="10"/>
  <c r="U111" i="10"/>
  <c r="T111" i="10"/>
  <c r="S111" i="10"/>
  <c r="R111" i="10"/>
  <c r="Q111" i="10"/>
  <c r="P111" i="10"/>
  <c r="O111" i="10"/>
  <c r="N111" i="10"/>
  <c r="M111" i="10"/>
  <c r="L111" i="10"/>
  <c r="K111" i="10"/>
  <c r="J111" i="10"/>
  <c r="I111" i="10"/>
  <c r="H111" i="10"/>
  <c r="W110" i="10"/>
  <c r="V110" i="10"/>
  <c r="U110" i="10"/>
  <c r="T110" i="10"/>
  <c r="S110" i="10"/>
  <c r="R110" i="10"/>
  <c r="Q110" i="10"/>
  <c r="P110" i="10"/>
  <c r="O110" i="10"/>
  <c r="N110" i="10"/>
  <c r="M110" i="10"/>
  <c r="L110" i="10"/>
  <c r="K110" i="10"/>
  <c r="J110" i="10"/>
  <c r="I110" i="10"/>
  <c r="H110" i="10"/>
  <c r="W109" i="10"/>
  <c r="V109" i="10"/>
  <c r="U109" i="10"/>
  <c r="T109" i="10"/>
  <c r="S109" i="10"/>
  <c r="R109" i="10"/>
  <c r="Q109" i="10"/>
  <c r="P109" i="10"/>
  <c r="O109" i="10"/>
  <c r="N109" i="10"/>
  <c r="M109" i="10"/>
  <c r="L109" i="10"/>
  <c r="K109" i="10"/>
  <c r="J109" i="10"/>
  <c r="I109" i="10"/>
  <c r="H109" i="10"/>
  <c r="W108" i="10"/>
  <c r="V108" i="10"/>
  <c r="U108" i="10"/>
  <c r="T108" i="10"/>
  <c r="S108" i="10"/>
  <c r="R108" i="10"/>
  <c r="Q108" i="10"/>
  <c r="P108" i="10"/>
  <c r="O108" i="10"/>
  <c r="N108" i="10"/>
  <c r="M108" i="10"/>
  <c r="L108" i="10"/>
  <c r="K108" i="10"/>
  <c r="J108" i="10"/>
  <c r="I108" i="10"/>
  <c r="H108" i="10"/>
  <c r="W107" i="10"/>
  <c r="V107" i="10"/>
  <c r="U107" i="10"/>
  <c r="T107" i="10"/>
  <c r="S107" i="10"/>
  <c r="R107" i="10"/>
  <c r="Q107" i="10"/>
  <c r="P107" i="10"/>
  <c r="O107" i="10"/>
  <c r="N107" i="10"/>
  <c r="M107" i="10"/>
  <c r="L107" i="10"/>
  <c r="K107" i="10"/>
  <c r="J107" i="10"/>
  <c r="I107" i="10"/>
  <c r="H107" i="10"/>
  <c r="W106" i="10"/>
  <c r="V106" i="10"/>
  <c r="U106" i="10"/>
  <c r="T106" i="10"/>
  <c r="S106" i="10"/>
  <c r="R106" i="10"/>
  <c r="Q106" i="10"/>
  <c r="P106" i="10"/>
  <c r="O106" i="10"/>
  <c r="N106" i="10"/>
  <c r="M106" i="10"/>
  <c r="L106" i="10"/>
  <c r="K106" i="10"/>
  <c r="J106" i="10"/>
  <c r="I106" i="10"/>
  <c r="H106" i="10"/>
  <c r="W105" i="10"/>
  <c r="V105" i="10"/>
  <c r="U105" i="10"/>
  <c r="T105" i="10"/>
  <c r="S105" i="10"/>
  <c r="R105" i="10"/>
  <c r="Q105" i="10"/>
  <c r="P105" i="10"/>
  <c r="O105" i="10"/>
  <c r="N105" i="10"/>
  <c r="M105" i="10"/>
  <c r="L105" i="10"/>
  <c r="K105" i="10"/>
  <c r="J105" i="10"/>
  <c r="I105" i="10"/>
  <c r="H105" i="10"/>
  <c r="W104" i="10"/>
  <c r="V104" i="10"/>
  <c r="U104" i="10"/>
  <c r="T104" i="10"/>
  <c r="S104" i="10"/>
  <c r="R104" i="10"/>
  <c r="Q104" i="10"/>
  <c r="P104" i="10"/>
  <c r="O104" i="10"/>
  <c r="N104" i="10"/>
  <c r="M104" i="10"/>
  <c r="L104" i="10"/>
  <c r="K104" i="10"/>
  <c r="J104" i="10"/>
  <c r="I104" i="10"/>
  <c r="H104" i="10"/>
  <c r="W103" i="10"/>
  <c r="V103" i="10"/>
  <c r="U103" i="10"/>
  <c r="T103" i="10"/>
  <c r="S103" i="10"/>
  <c r="R103" i="10"/>
  <c r="Q103" i="10"/>
  <c r="P103" i="10"/>
  <c r="O103" i="10"/>
  <c r="N103" i="10"/>
  <c r="M103" i="10"/>
  <c r="L103" i="10"/>
  <c r="K103" i="10"/>
  <c r="J103" i="10"/>
  <c r="I103" i="10"/>
  <c r="H103" i="10"/>
  <c r="W102" i="10"/>
  <c r="V102" i="10"/>
  <c r="U102" i="10"/>
  <c r="T102" i="10"/>
  <c r="S102" i="10"/>
  <c r="R102" i="10"/>
  <c r="Q102" i="10"/>
  <c r="P102" i="10"/>
  <c r="O102" i="10"/>
  <c r="N102" i="10"/>
  <c r="M102" i="10"/>
  <c r="L102" i="10"/>
  <c r="K102" i="10"/>
  <c r="J102" i="10"/>
  <c r="I102" i="10"/>
  <c r="H102" i="10"/>
  <c r="W101" i="10"/>
  <c r="V101" i="10"/>
  <c r="U101" i="10"/>
  <c r="T101" i="10"/>
  <c r="S101" i="10"/>
  <c r="R101" i="10"/>
  <c r="Q101" i="10"/>
  <c r="P101" i="10"/>
  <c r="O101" i="10"/>
  <c r="N101" i="10"/>
  <c r="M101" i="10"/>
  <c r="L101" i="10"/>
  <c r="K101" i="10"/>
  <c r="J101" i="10"/>
  <c r="I101" i="10"/>
  <c r="H101" i="10"/>
  <c r="W100" i="10"/>
  <c r="V100" i="10"/>
  <c r="U100" i="10"/>
  <c r="T100" i="10"/>
  <c r="S100" i="10"/>
  <c r="R100" i="10"/>
  <c r="Q100" i="10"/>
  <c r="P100" i="10"/>
  <c r="O100" i="10"/>
  <c r="N100" i="10"/>
  <c r="M100" i="10"/>
  <c r="L100" i="10"/>
  <c r="K100" i="10"/>
  <c r="J100" i="10"/>
  <c r="I100" i="10"/>
  <c r="H100" i="10"/>
  <c r="W99" i="10"/>
  <c r="V99" i="10"/>
  <c r="U99" i="10"/>
  <c r="T99" i="10"/>
  <c r="S99" i="10"/>
  <c r="R99" i="10"/>
  <c r="Q99" i="10"/>
  <c r="P99" i="10"/>
  <c r="O99" i="10"/>
  <c r="N99" i="10"/>
  <c r="M99" i="10"/>
  <c r="L99" i="10"/>
  <c r="K99" i="10"/>
  <c r="J99" i="10"/>
  <c r="I99" i="10"/>
  <c r="H99" i="10"/>
  <c r="W98" i="10"/>
  <c r="V98" i="10"/>
  <c r="U98" i="10"/>
  <c r="T98" i="10"/>
  <c r="S98" i="10"/>
  <c r="R98" i="10"/>
  <c r="Q98" i="10"/>
  <c r="P98" i="10"/>
  <c r="O98" i="10"/>
  <c r="N98" i="10"/>
  <c r="M98" i="10"/>
  <c r="L98" i="10"/>
  <c r="K98" i="10"/>
  <c r="J98" i="10"/>
  <c r="I98" i="10"/>
  <c r="H98" i="10"/>
  <c r="W97" i="10"/>
  <c r="V97" i="10"/>
  <c r="U97" i="10"/>
  <c r="T97" i="10"/>
  <c r="S97" i="10"/>
  <c r="R97" i="10"/>
  <c r="Q97" i="10"/>
  <c r="P97" i="10"/>
  <c r="O97" i="10"/>
  <c r="N97" i="10"/>
  <c r="M97" i="10"/>
  <c r="L97" i="10"/>
  <c r="K97" i="10"/>
  <c r="J97" i="10"/>
  <c r="I97" i="10"/>
  <c r="H97" i="10"/>
  <c r="W96" i="10"/>
  <c r="V96" i="10"/>
  <c r="U96" i="10"/>
  <c r="T96" i="10"/>
  <c r="S96" i="10"/>
  <c r="R96" i="10"/>
  <c r="Q96" i="10"/>
  <c r="P96" i="10"/>
  <c r="O96" i="10"/>
  <c r="N96" i="10"/>
  <c r="M96" i="10"/>
  <c r="L96" i="10"/>
  <c r="K96" i="10"/>
  <c r="J96" i="10"/>
  <c r="I96" i="10"/>
  <c r="H96" i="10"/>
  <c r="W95" i="10"/>
  <c r="V95" i="10"/>
  <c r="U95" i="10"/>
  <c r="T95" i="10"/>
  <c r="S95" i="10"/>
  <c r="R95" i="10"/>
  <c r="Q95" i="10"/>
  <c r="P95" i="10"/>
  <c r="O95" i="10"/>
  <c r="N95" i="10"/>
  <c r="M95" i="10"/>
  <c r="L95" i="10"/>
  <c r="K95" i="10"/>
  <c r="J95" i="10"/>
  <c r="I95" i="10"/>
  <c r="H95" i="10"/>
  <c r="W94" i="10"/>
  <c r="V94" i="10"/>
  <c r="U94" i="10"/>
  <c r="T94" i="10"/>
  <c r="S94" i="10"/>
  <c r="R94" i="10"/>
  <c r="Q94" i="10"/>
  <c r="P94" i="10"/>
  <c r="O94" i="10"/>
  <c r="N94" i="10"/>
  <c r="M94" i="10"/>
  <c r="L94" i="10"/>
  <c r="K94" i="10"/>
  <c r="J94" i="10"/>
  <c r="I94" i="10"/>
  <c r="H94" i="10"/>
  <c r="W93" i="10"/>
  <c r="V93" i="10"/>
  <c r="U93" i="10"/>
  <c r="T93" i="10"/>
  <c r="S93" i="10"/>
  <c r="R93" i="10"/>
  <c r="Q93" i="10"/>
  <c r="P93" i="10"/>
  <c r="O93" i="10"/>
  <c r="N93" i="10"/>
  <c r="M93" i="10"/>
  <c r="L93" i="10"/>
  <c r="K93" i="10"/>
  <c r="J93" i="10"/>
  <c r="I93" i="10"/>
  <c r="H93" i="10"/>
  <c r="W92" i="10"/>
  <c r="V92" i="10"/>
  <c r="U92" i="10"/>
  <c r="T92" i="10"/>
  <c r="S92" i="10"/>
  <c r="R92" i="10"/>
  <c r="Q92" i="10"/>
  <c r="P92" i="10"/>
  <c r="O92" i="10"/>
  <c r="N92" i="10"/>
  <c r="M92" i="10"/>
  <c r="L92" i="10"/>
  <c r="K92" i="10"/>
  <c r="J92" i="10"/>
  <c r="I92" i="10"/>
  <c r="H92" i="10"/>
  <c r="W91" i="10"/>
  <c r="V91" i="10"/>
  <c r="U91" i="10"/>
  <c r="T91" i="10"/>
  <c r="S91" i="10"/>
  <c r="R91" i="10"/>
  <c r="Q91" i="10"/>
  <c r="P91" i="10"/>
  <c r="O91" i="10"/>
  <c r="N91" i="10"/>
  <c r="M91" i="10"/>
  <c r="L91" i="10"/>
  <c r="K91" i="10"/>
  <c r="J91" i="10"/>
  <c r="I91" i="10"/>
  <c r="H91" i="10"/>
  <c r="W90" i="10"/>
  <c r="V90" i="10"/>
  <c r="U90" i="10"/>
  <c r="T90" i="10"/>
  <c r="S90" i="10"/>
  <c r="R90" i="10"/>
  <c r="Q90" i="10"/>
  <c r="P90" i="10"/>
  <c r="O90" i="10"/>
  <c r="N90" i="10"/>
  <c r="M90" i="10"/>
  <c r="L90" i="10"/>
  <c r="K90" i="10"/>
  <c r="J90" i="10"/>
  <c r="I90" i="10"/>
  <c r="H90" i="10"/>
  <c r="W89" i="10"/>
  <c r="V89" i="10"/>
  <c r="U89" i="10"/>
  <c r="T89" i="10"/>
  <c r="S89" i="10"/>
  <c r="R89" i="10"/>
  <c r="Q89" i="10"/>
  <c r="P89" i="10"/>
  <c r="O89" i="10"/>
  <c r="N89" i="10"/>
  <c r="M89" i="10"/>
  <c r="L89" i="10"/>
  <c r="K89" i="10"/>
  <c r="J89" i="10"/>
  <c r="I89" i="10"/>
  <c r="H89" i="10"/>
  <c r="W88" i="10"/>
  <c r="V88" i="10"/>
  <c r="U88" i="10"/>
  <c r="T88" i="10"/>
  <c r="S88" i="10"/>
  <c r="R88" i="10"/>
  <c r="Q88" i="10"/>
  <c r="P88" i="10"/>
  <c r="O88" i="10"/>
  <c r="N88" i="10"/>
  <c r="M88" i="10"/>
  <c r="L88" i="10"/>
  <c r="K88" i="10"/>
  <c r="J88" i="10"/>
  <c r="I88" i="10"/>
  <c r="H88" i="10"/>
  <c r="W87" i="10"/>
  <c r="V87" i="10"/>
  <c r="U87" i="10"/>
  <c r="T87" i="10"/>
  <c r="S87" i="10"/>
  <c r="R87" i="10"/>
  <c r="Q87" i="10"/>
  <c r="P87" i="10"/>
  <c r="O87" i="10"/>
  <c r="N87" i="10"/>
  <c r="M87" i="10"/>
  <c r="L87" i="10"/>
  <c r="K87" i="10"/>
  <c r="J87" i="10"/>
  <c r="I87" i="10"/>
  <c r="H87" i="10"/>
  <c r="W86" i="10"/>
  <c r="V86" i="10"/>
  <c r="U86" i="10"/>
  <c r="T86" i="10"/>
  <c r="S86" i="10"/>
  <c r="R86" i="10"/>
  <c r="Q86" i="10"/>
  <c r="P86" i="10"/>
  <c r="O86" i="10"/>
  <c r="N86" i="10"/>
  <c r="M86" i="10"/>
  <c r="L86" i="10"/>
  <c r="K86" i="10"/>
  <c r="J86" i="10"/>
  <c r="I86" i="10"/>
  <c r="H86" i="10"/>
  <c r="W85" i="10"/>
  <c r="V85" i="10"/>
  <c r="U85" i="10"/>
  <c r="T85" i="10"/>
  <c r="S85" i="10"/>
  <c r="R85" i="10"/>
  <c r="Q85" i="10"/>
  <c r="P85" i="10"/>
  <c r="O85" i="10"/>
  <c r="N85" i="10"/>
  <c r="M85" i="10"/>
  <c r="L85" i="10"/>
  <c r="K85" i="10"/>
  <c r="J85" i="10"/>
  <c r="I85" i="10"/>
  <c r="H85" i="10"/>
  <c r="W84" i="10"/>
  <c r="V84" i="10"/>
  <c r="U84" i="10"/>
  <c r="T84" i="10"/>
  <c r="S84" i="10"/>
  <c r="R84" i="10"/>
  <c r="Q84" i="10"/>
  <c r="P84" i="10"/>
  <c r="O84" i="10"/>
  <c r="N84" i="10"/>
  <c r="M84" i="10"/>
  <c r="L84" i="10"/>
  <c r="K84" i="10"/>
  <c r="J84" i="10"/>
  <c r="I84" i="10"/>
  <c r="H84" i="10"/>
  <c r="W83" i="10"/>
  <c r="V83" i="10"/>
  <c r="U83" i="10"/>
  <c r="T83" i="10"/>
  <c r="S83" i="10"/>
  <c r="R83" i="10"/>
  <c r="Q83" i="10"/>
  <c r="P83" i="10"/>
  <c r="O83" i="10"/>
  <c r="N83" i="10"/>
  <c r="M83" i="10"/>
  <c r="L83" i="10"/>
  <c r="K83" i="10"/>
  <c r="J83" i="10"/>
  <c r="I83" i="10"/>
  <c r="H83" i="10"/>
  <c r="W82" i="10"/>
  <c r="V82" i="10"/>
  <c r="U82" i="10"/>
  <c r="T82" i="10"/>
  <c r="S82" i="10"/>
  <c r="R82" i="10"/>
  <c r="Q82" i="10"/>
  <c r="P82" i="10"/>
  <c r="O82" i="10"/>
  <c r="N82" i="10"/>
  <c r="M82" i="10"/>
  <c r="L82" i="10"/>
  <c r="K82" i="10"/>
  <c r="J82" i="10"/>
  <c r="I82" i="10"/>
  <c r="H82" i="10"/>
  <c r="W81" i="10"/>
  <c r="V81" i="10"/>
  <c r="U81" i="10"/>
  <c r="T81" i="10"/>
  <c r="S81" i="10"/>
  <c r="R81" i="10"/>
  <c r="Q81" i="10"/>
  <c r="P81" i="10"/>
  <c r="O81" i="10"/>
  <c r="N81" i="10"/>
  <c r="M81" i="10"/>
  <c r="L81" i="10"/>
  <c r="K81" i="10"/>
  <c r="J81" i="10"/>
  <c r="I81" i="10"/>
  <c r="H81" i="10"/>
  <c r="W80" i="10"/>
  <c r="V80" i="10"/>
  <c r="U80" i="10"/>
  <c r="T80" i="10"/>
  <c r="S80" i="10"/>
  <c r="R80" i="10"/>
  <c r="Q80" i="10"/>
  <c r="P80" i="10"/>
  <c r="O80" i="10"/>
  <c r="N80" i="10"/>
  <c r="M80" i="10"/>
  <c r="L80" i="10"/>
  <c r="K80" i="10"/>
  <c r="J80" i="10"/>
  <c r="I80" i="10"/>
  <c r="H80" i="10"/>
  <c r="W79" i="10"/>
  <c r="V79" i="10"/>
  <c r="U79" i="10"/>
  <c r="T79" i="10"/>
  <c r="S79" i="10"/>
  <c r="R79" i="10"/>
  <c r="Q79" i="10"/>
  <c r="P79" i="10"/>
  <c r="O79" i="10"/>
  <c r="N79" i="10"/>
  <c r="M79" i="10"/>
  <c r="L79" i="10"/>
  <c r="K79" i="10"/>
  <c r="J79" i="10"/>
  <c r="I79" i="10"/>
  <c r="H79" i="10"/>
  <c r="W78" i="10"/>
  <c r="V78" i="10"/>
  <c r="U78" i="10"/>
  <c r="T78" i="10"/>
  <c r="S78" i="10"/>
  <c r="R78" i="10"/>
  <c r="Q78" i="10"/>
  <c r="P78" i="10"/>
  <c r="O78" i="10"/>
  <c r="N78" i="10"/>
  <c r="M78" i="10"/>
  <c r="L78" i="10"/>
  <c r="K78" i="10"/>
  <c r="J78" i="10"/>
  <c r="I78" i="10"/>
  <c r="H78" i="10"/>
  <c r="W77" i="10"/>
  <c r="V77" i="10"/>
  <c r="U77" i="10"/>
  <c r="T77" i="10"/>
  <c r="S77" i="10"/>
  <c r="R77" i="10"/>
  <c r="Q77" i="10"/>
  <c r="P77" i="10"/>
  <c r="O77" i="10"/>
  <c r="N77" i="10"/>
  <c r="M77" i="10"/>
  <c r="L77" i="10"/>
  <c r="K77" i="10"/>
  <c r="J77" i="10"/>
  <c r="I77" i="10"/>
  <c r="H77" i="10"/>
  <c r="W76" i="10"/>
  <c r="V76" i="10"/>
  <c r="U76" i="10"/>
  <c r="T76" i="10"/>
  <c r="S76" i="10"/>
  <c r="R76" i="10"/>
  <c r="Q76" i="10"/>
  <c r="P76" i="10"/>
  <c r="O76" i="10"/>
  <c r="N76" i="10"/>
  <c r="M76" i="10"/>
  <c r="L76" i="10"/>
  <c r="K76" i="10"/>
  <c r="J76" i="10"/>
  <c r="I76" i="10"/>
  <c r="H76" i="10"/>
  <c r="W75" i="10"/>
  <c r="V75" i="10"/>
  <c r="U75" i="10"/>
  <c r="T75" i="10"/>
  <c r="S75" i="10"/>
  <c r="R75" i="10"/>
  <c r="Q75" i="10"/>
  <c r="P75" i="10"/>
  <c r="O75" i="10"/>
  <c r="N75" i="10"/>
  <c r="M75" i="10"/>
  <c r="L75" i="10"/>
  <c r="K75" i="10"/>
  <c r="J75" i="10"/>
  <c r="I75" i="10"/>
  <c r="H75" i="10"/>
  <c r="W74" i="10"/>
  <c r="V74" i="10"/>
  <c r="U74" i="10"/>
  <c r="T74" i="10"/>
  <c r="S74" i="10"/>
  <c r="R74" i="10"/>
  <c r="Q74" i="10"/>
  <c r="P74" i="10"/>
  <c r="O74" i="10"/>
  <c r="N74" i="10"/>
  <c r="M74" i="10"/>
  <c r="L74" i="10"/>
  <c r="K74" i="10"/>
  <c r="J74" i="10"/>
  <c r="I74" i="10"/>
  <c r="H74" i="10"/>
  <c r="W73" i="10"/>
  <c r="V73" i="10"/>
  <c r="U73" i="10"/>
  <c r="T73" i="10"/>
  <c r="S73" i="10"/>
  <c r="R73" i="10"/>
  <c r="Q73" i="10"/>
  <c r="P73" i="10"/>
  <c r="O73" i="10"/>
  <c r="N73" i="10"/>
  <c r="M73" i="10"/>
  <c r="L73" i="10"/>
  <c r="K73" i="10"/>
  <c r="J73" i="10"/>
  <c r="I73" i="10"/>
  <c r="H73" i="10"/>
  <c r="W72" i="10"/>
  <c r="V72" i="10"/>
  <c r="U72" i="10"/>
  <c r="T72" i="10"/>
  <c r="S72" i="10"/>
  <c r="R72" i="10"/>
  <c r="Q72" i="10"/>
  <c r="P72" i="10"/>
  <c r="O72" i="10"/>
  <c r="N72" i="10"/>
  <c r="M72" i="10"/>
  <c r="L72" i="10"/>
  <c r="K72" i="10"/>
  <c r="J72" i="10"/>
  <c r="I72" i="10"/>
  <c r="H72" i="10"/>
  <c r="W71" i="10"/>
  <c r="V71" i="10"/>
  <c r="U71" i="10"/>
  <c r="T71" i="10"/>
  <c r="S71" i="10"/>
  <c r="R71" i="10"/>
  <c r="Q71" i="10"/>
  <c r="P71" i="10"/>
  <c r="O71" i="10"/>
  <c r="N71" i="10"/>
  <c r="M71" i="10"/>
  <c r="L71" i="10"/>
  <c r="K71" i="10"/>
  <c r="J71" i="10"/>
  <c r="I71" i="10"/>
  <c r="H71" i="10"/>
  <c r="W70" i="10"/>
  <c r="V70" i="10"/>
  <c r="U70" i="10"/>
  <c r="T70" i="10"/>
  <c r="S70" i="10"/>
  <c r="R70" i="10"/>
  <c r="Q70" i="10"/>
  <c r="P70" i="10"/>
  <c r="O70" i="10"/>
  <c r="N70" i="10"/>
  <c r="M70" i="10"/>
  <c r="L70" i="10"/>
  <c r="K70" i="10"/>
  <c r="J70" i="10"/>
  <c r="I70" i="10"/>
  <c r="H70" i="10"/>
  <c r="W69" i="10"/>
  <c r="V69" i="10"/>
  <c r="U69" i="10"/>
  <c r="T69" i="10"/>
  <c r="S69" i="10"/>
  <c r="R69" i="10"/>
  <c r="Q69" i="10"/>
  <c r="P69" i="10"/>
  <c r="O69" i="10"/>
  <c r="N69" i="10"/>
  <c r="M69" i="10"/>
  <c r="L69" i="10"/>
  <c r="K69" i="10"/>
  <c r="J69" i="10"/>
  <c r="I69" i="10"/>
  <c r="H69" i="10"/>
  <c r="W68" i="10"/>
  <c r="V68" i="10"/>
  <c r="U68" i="10"/>
  <c r="T68" i="10"/>
  <c r="S68" i="10"/>
  <c r="R68" i="10"/>
  <c r="Q68" i="10"/>
  <c r="P68" i="10"/>
  <c r="O68" i="10"/>
  <c r="N68" i="10"/>
  <c r="M68" i="10"/>
  <c r="L68" i="10"/>
  <c r="K68" i="10"/>
  <c r="J68" i="10"/>
  <c r="I68" i="10"/>
  <c r="H68" i="10"/>
  <c r="W67" i="10"/>
  <c r="V67" i="10"/>
  <c r="U67" i="10"/>
  <c r="T67" i="10"/>
  <c r="S67" i="10"/>
  <c r="R67" i="10"/>
  <c r="Q67" i="10"/>
  <c r="P67" i="10"/>
  <c r="O67" i="10"/>
  <c r="N67" i="10"/>
  <c r="M67" i="10"/>
  <c r="L67" i="10"/>
  <c r="K67" i="10"/>
  <c r="J67" i="10"/>
  <c r="I67" i="10"/>
  <c r="H67" i="10"/>
  <c r="W66" i="10"/>
  <c r="V66" i="10"/>
  <c r="U66" i="10"/>
  <c r="T66" i="10"/>
  <c r="S66" i="10"/>
  <c r="R66" i="10"/>
  <c r="Q66" i="10"/>
  <c r="P66" i="10"/>
  <c r="O66" i="10"/>
  <c r="N66" i="10"/>
  <c r="M66" i="10"/>
  <c r="L66" i="10"/>
  <c r="K66" i="10"/>
  <c r="J66" i="10"/>
  <c r="I66" i="10"/>
  <c r="H66" i="10"/>
  <c r="W65" i="10"/>
  <c r="V65" i="10"/>
  <c r="U65" i="10"/>
  <c r="T65" i="10"/>
  <c r="S65" i="10"/>
  <c r="R65" i="10"/>
  <c r="Q65" i="10"/>
  <c r="P65" i="10"/>
  <c r="O65" i="10"/>
  <c r="N65" i="10"/>
  <c r="M65" i="10"/>
  <c r="L65" i="10"/>
  <c r="K65" i="10"/>
  <c r="J65" i="10"/>
  <c r="I65" i="10"/>
  <c r="H65" i="10"/>
  <c r="W64" i="10"/>
  <c r="V64" i="10"/>
  <c r="U64" i="10"/>
  <c r="T64" i="10"/>
  <c r="S64" i="10"/>
  <c r="R64" i="10"/>
  <c r="Q64" i="10"/>
  <c r="P64" i="10"/>
  <c r="O64" i="10"/>
  <c r="N64" i="10"/>
  <c r="M64" i="10"/>
  <c r="L64" i="10"/>
  <c r="K64" i="10"/>
  <c r="J64" i="10"/>
  <c r="I64" i="10"/>
  <c r="H64" i="10"/>
  <c r="W63" i="10"/>
  <c r="V63" i="10"/>
  <c r="U63" i="10"/>
  <c r="T63" i="10"/>
  <c r="S63" i="10"/>
  <c r="R63" i="10"/>
  <c r="Q63" i="10"/>
  <c r="P63" i="10"/>
  <c r="O63" i="10"/>
  <c r="N63" i="10"/>
  <c r="M63" i="10"/>
  <c r="L63" i="10"/>
  <c r="K63" i="10"/>
  <c r="J63" i="10"/>
  <c r="I63" i="10"/>
  <c r="H63" i="10"/>
  <c r="W62" i="10"/>
  <c r="V62" i="10"/>
  <c r="U62" i="10"/>
  <c r="T62" i="10"/>
  <c r="S62" i="10"/>
  <c r="R62" i="10"/>
  <c r="Q62" i="10"/>
  <c r="P62" i="10"/>
  <c r="O62" i="10"/>
  <c r="N62" i="10"/>
  <c r="M62" i="10"/>
  <c r="L62" i="10"/>
  <c r="K62" i="10"/>
  <c r="J62" i="10"/>
  <c r="I62" i="10"/>
  <c r="H62" i="10"/>
  <c r="W61" i="10"/>
  <c r="V61" i="10"/>
  <c r="U61" i="10"/>
  <c r="T61" i="10"/>
  <c r="S61" i="10"/>
  <c r="R61" i="10"/>
  <c r="Q61" i="10"/>
  <c r="P61" i="10"/>
  <c r="O61" i="10"/>
  <c r="N61" i="10"/>
  <c r="M61" i="10"/>
  <c r="L61" i="10"/>
  <c r="K61" i="10"/>
  <c r="J61" i="10"/>
  <c r="I61" i="10"/>
  <c r="H61" i="10"/>
  <c r="W60" i="10"/>
  <c r="V60" i="10"/>
  <c r="U60" i="10"/>
  <c r="T60" i="10"/>
  <c r="S60" i="10"/>
  <c r="R60" i="10"/>
  <c r="Q60" i="10"/>
  <c r="P60" i="10"/>
  <c r="O60" i="10"/>
  <c r="N60" i="10"/>
  <c r="M60" i="10"/>
  <c r="L60" i="10"/>
  <c r="K60" i="10"/>
  <c r="J60" i="10"/>
  <c r="I60" i="10"/>
  <c r="H60" i="10"/>
  <c r="W59" i="10"/>
  <c r="V59" i="10"/>
  <c r="U59" i="10"/>
  <c r="T59" i="10"/>
  <c r="S59" i="10"/>
  <c r="R59" i="10"/>
  <c r="Q59" i="10"/>
  <c r="P59" i="10"/>
  <c r="O59" i="10"/>
  <c r="N59" i="10"/>
  <c r="M59" i="10"/>
  <c r="L59" i="10"/>
  <c r="K59" i="10"/>
  <c r="J59" i="10"/>
  <c r="I59" i="10"/>
  <c r="H59" i="10"/>
  <c r="W58" i="10"/>
  <c r="V58" i="10"/>
  <c r="U58" i="10"/>
  <c r="T58" i="10"/>
  <c r="S58" i="10"/>
  <c r="R58" i="10"/>
  <c r="Q58" i="10"/>
  <c r="P58" i="10"/>
  <c r="O58" i="10"/>
  <c r="N58" i="10"/>
  <c r="M58" i="10"/>
  <c r="L58" i="10"/>
  <c r="K58" i="10"/>
  <c r="J58" i="10"/>
  <c r="I58" i="10"/>
  <c r="H58" i="10"/>
  <c r="W57" i="10"/>
  <c r="V57" i="10"/>
  <c r="U57" i="10"/>
  <c r="T57" i="10"/>
  <c r="S57" i="10"/>
  <c r="R57" i="10"/>
  <c r="Q57" i="10"/>
  <c r="P57" i="10"/>
  <c r="O57" i="10"/>
  <c r="N57" i="10"/>
  <c r="M57" i="10"/>
  <c r="L57" i="10"/>
  <c r="K57" i="10"/>
  <c r="J57" i="10"/>
  <c r="I57" i="10"/>
  <c r="H57" i="10"/>
  <c r="W56" i="10"/>
  <c r="V56" i="10"/>
  <c r="U56" i="10"/>
  <c r="T56" i="10"/>
  <c r="S56" i="10"/>
  <c r="R56" i="10"/>
  <c r="Q56" i="10"/>
  <c r="P56" i="10"/>
  <c r="O56" i="10"/>
  <c r="N56" i="10"/>
  <c r="M56" i="10"/>
  <c r="L56" i="10"/>
  <c r="K56" i="10"/>
  <c r="J56" i="10"/>
  <c r="I56" i="10"/>
  <c r="H56" i="10"/>
  <c r="W55" i="10"/>
  <c r="V55" i="10"/>
  <c r="U55" i="10"/>
  <c r="T55" i="10"/>
  <c r="S55" i="10"/>
  <c r="R55" i="10"/>
  <c r="Q55" i="10"/>
  <c r="P55" i="10"/>
  <c r="O55" i="10"/>
  <c r="N55" i="10"/>
  <c r="M55" i="10"/>
  <c r="L55" i="10"/>
  <c r="K55" i="10"/>
  <c r="J55" i="10"/>
  <c r="I55" i="10"/>
  <c r="H55" i="10"/>
  <c r="W54" i="10"/>
  <c r="V54" i="10"/>
  <c r="U54" i="10"/>
  <c r="T54" i="10"/>
  <c r="S54" i="10"/>
  <c r="R54" i="10"/>
  <c r="Q54" i="10"/>
  <c r="P54" i="10"/>
  <c r="O54" i="10"/>
  <c r="N54" i="10"/>
  <c r="M54" i="10"/>
  <c r="L54" i="10"/>
  <c r="K54" i="10"/>
  <c r="J54" i="10"/>
  <c r="I54" i="10"/>
  <c r="H54" i="10"/>
  <c r="W53" i="10"/>
  <c r="V53" i="10"/>
  <c r="U53" i="10"/>
  <c r="T53" i="10"/>
  <c r="S53" i="10"/>
  <c r="R53" i="10"/>
  <c r="Q53" i="10"/>
  <c r="P53" i="10"/>
  <c r="O53" i="10"/>
  <c r="N53" i="10"/>
  <c r="M53" i="10"/>
  <c r="L53" i="10"/>
  <c r="K53" i="10"/>
  <c r="J53" i="10"/>
  <c r="I53" i="10"/>
  <c r="H53" i="10"/>
  <c r="W52" i="10"/>
  <c r="V52" i="10"/>
  <c r="U52" i="10"/>
  <c r="T52" i="10"/>
  <c r="S52" i="10"/>
  <c r="R52" i="10"/>
  <c r="Q52" i="10"/>
  <c r="P52" i="10"/>
  <c r="O52" i="10"/>
  <c r="N52" i="10"/>
  <c r="M52" i="10"/>
  <c r="L52" i="10"/>
  <c r="K52" i="10"/>
  <c r="J52" i="10"/>
  <c r="I52" i="10"/>
  <c r="H52" i="10"/>
  <c r="W51" i="10"/>
  <c r="V51" i="10"/>
  <c r="U51" i="10"/>
  <c r="T51" i="10"/>
  <c r="S51" i="10"/>
  <c r="R51" i="10"/>
  <c r="Q51" i="10"/>
  <c r="P51" i="10"/>
  <c r="O51" i="10"/>
  <c r="N51" i="10"/>
  <c r="M51" i="10"/>
  <c r="L51" i="10"/>
  <c r="K51" i="10"/>
  <c r="J51" i="10"/>
  <c r="I51" i="10"/>
  <c r="H51" i="10"/>
  <c r="W50" i="10"/>
  <c r="V50" i="10"/>
  <c r="U50" i="10"/>
  <c r="T50" i="10"/>
  <c r="S50" i="10"/>
  <c r="R50" i="10"/>
  <c r="Q50" i="10"/>
  <c r="P50" i="10"/>
  <c r="O50" i="10"/>
  <c r="N50" i="10"/>
  <c r="M50" i="10"/>
  <c r="L50" i="10"/>
  <c r="K50" i="10"/>
  <c r="J50" i="10"/>
  <c r="I50" i="10"/>
  <c r="H50" i="10"/>
  <c r="W49" i="10"/>
  <c r="V49" i="10"/>
  <c r="U49" i="10"/>
  <c r="T49" i="10"/>
  <c r="S49" i="10"/>
  <c r="R49" i="10"/>
  <c r="Q49" i="10"/>
  <c r="P49" i="10"/>
  <c r="O49" i="10"/>
  <c r="N49" i="10"/>
  <c r="M49" i="10"/>
  <c r="L49" i="10"/>
  <c r="K49" i="10"/>
  <c r="J49" i="10"/>
  <c r="I49" i="10"/>
  <c r="H49" i="10"/>
  <c r="W48" i="10"/>
  <c r="V48" i="10"/>
  <c r="U48" i="10"/>
  <c r="T48" i="10"/>
  <c r="S48" i="10"/>
  <c r="R48" i="10"/>
  <c r="Q48" i="10"/>
  <c r="P48" i="10"/>
  <c r="O48" i="10"/>
  <c r="N48" i="10"/>
  <c r="M48" i="10"/>
  <c r="L48" i="10"/>
  <c r="K48" i="10"/>
  <c r="J48" i="10"/>
  <c r="I48" i="10"/>
  <c r="H48" i="10"/>
  <c r="W47" i="10"/>
  <c r="V47" i="10"/>
  <c r="U47" i="10"/>
  <c r="T47" i="10"/>
  <c r="S47" i="10"/>
  <c r="R47" i="10"/>
  <c r="Q47" i="10"/>
  <c r="P47" i="10"/>
  <c r="O47" i="10"/>
  <c r="N47" i="10"/>
  <c r="M47" i="10"/>
  <c r="L47" i="10"/>
  <c r="K47" i="10"/>
  <c r="J47" i="10"/>
  <c r="I47" i="10"/>
  <c r="H47" i="10"/>
  <c r="W46" i="10"/>
  <c r="V46" i="10"/>
  <c r="U46" i="10"/>
  <c r="T46" i="10"/>
  <c r="S46" i="10"/>
  <c r="R46" i="10"/>
  <c r="Q46" i="10"/>
  <c r="P46" i="10"/>
  <c r="O46" i="10"/>
  <c r="N46" i="10"/>
  <c r="M46" i="10"/>
  <c r="L46" i="10"/>
  <c r="K46" i="10"/>
  <c r="J46" i="10"/>
  <c r="I46" i="10"/>
  <c r="H46" i="10"/>
  <c r="W45" i="10"/>
  <c r="V45" i="10"/>
  <c r="U45" i="10"/>
  <c r="T45" i="10"/>
  <c r="S45" i="10"/>
  <c r="R45" i="10"/>
  <c r="Q45" i="10"/>
  <c r="P45" i="10"/>
  <c r="O45" i="10"/>
  <c r="N45" i="10"/>
  <c r="M45" i="10"/>
  <c r="L45" i="10"/>
  <c r="K45" i="10"/>
  <c r="J45" i="10"/>
  <c r="I45" i="10"/>
  <c r="H45" i="10"/>
  <c r="W44" i="10"/>
  <c r="V44" i="10"/>
  <c r="U44" i="10"/>
  <c r="T44" i="10"/>
  <c r="S44" i="10"/>
  <c r="R44" i="10"/>
  <c r="Q44" i="10"/>
  <c r="P44" i="10"/>
  <c r="O44" i="10"/>
  <c r="N44" i="10"/>
  <c r="M44" i="10"/>
  <c r="L44" i="10"/>
  <c r="K44" i="10"/>
  <c r="J44" i="10"/>
  <c r="I44" i="10"/>
  <c r="H44" i="10"/>
  <c r="W43" i="10"/>
  <c r="V43" i="10"/>
  <c r="U43" i="10"/>
  <c r="T43" i="10"/>
  <c r="S43" i="10"/>
  <c r="R43" i="10"/>
  <c r="Q43" i="10"/>
  <c r="P43" i="10"/>
  <c r="O43" i="10"/>
  <c r="N43" i="10"/>
  <c r="M43" i="10"/>
  <c r="L43" i="10"/>
  <c r="K43" i="10"/>
  <c r="J43" i="10"/>
  <c r="I43" i="10"/>
  <c r="H43" i="10"/>
  <c r="W42" i="10"/>
  <c r="V42" i="10"/>
  <c r="U42" i="10"/>
  <c r="T42" i="10"/>
  <c r="S42" i="10"/>
  <c r="R42" i="10"/>
  <c r="Q42" i="10"/>
  <c r="P42" i="10"/>
  <c r="O42" i="10"/>
  <c r="N42" i="10"/>
  <c r="M42" i="10"/>
  <c r="L42" i="10"/>
  <c r="K42" i="10"/>
  <c r="J42" i="10"/>
  <c r="I42" i="10"/>
  <c r="H42" i="10"/>
  <c r="W41" i="10"/>
  <c r="V41" i="10"/>
  <c r="U41" i="10"/>
  <c r="T41" i="10"/>
  <c r="S41" i="10"/>
  <c r="R41" i="10"/>
  <c r="Q41" i="10"/>
  <c r="P41" i="10"/>
  <c r="O41" i="10"/>
  <c r="N41" i="10"/>
  <c r="M41" i="10"/>
  <c r="L41" i="10"/>
  <c r="K41" i="10"/>
  <c r="J41" i="10"/>
  <c r="I41" i="10"/>
  <c r="H41" i="10"/>
  <c r="W40" i="10"/>
  <c r="V40" i="10"/>
  <c r="U40" i="10"/>
  <c r="T40" i="10"/>
  <c r="S40" i="10"/>
  <c r="R40" i="10"/>
  <c r="Q40" i="10"/>
  <c r="P40" i="10"/>
  <c r="O40" i="10"/>
  <c r="N40" i="10"/>
  <c r="M40" i="10"/>
  <c r="L40" i="10"/>
  <c r="K40" i="10"/>
  <c r="J40" i="10"/>
  <c r="I40" i="10"/>
  <c r="H40" i="10"/>
  <c r="W39" i="10"/>
  <c r="V39" i="10"/>
  <c r="U39" i="10"/>
  <c r="T39" i="10"/>
  <c r="S39" i="10"/>
  <c r="R39" i="10"/>
  <c r="Q39" i="10"/>
  <c r="P39" i="10"/>
  <c r="O39" i="10"/>
  <c r="N39" i="10"/>
  <c r="M39" i="10"/>
  <c r="L39" i="10"/>
  <c r="K39" i="10"/>
  <c r="J39" i="10"/>
  <c r="I39" i="10"/>
  <c r="H39" i="10"/>
  <c r="W38" i="10"/>
  <c r="V38" i="10"/>
  <c r="U38" i="10"/>
  <c r="T38" i="10"/>
  <c r="S38" i="10"/>
  <c r="R38" i="10"/>
  <c r="Q38" i="10"/>
  <c r="P38" i="10"/>
  <c r="O38" i="10"/>
  <c r="N38" i="10"/>
  <c r="M38" i="10"/>
  <c r="L38" i="10"/>
  <c r="K38" i="10"/>
  <c r="J38" i="10"/>
  <c r="I38" i="10"/>
  <c r="H38" i="10"/>
  <c r="W37" i="10"/>
  <c r="V37" i="10"/>
  <c r="U37" i="10"/>
  <c r="T37" i="10"/>
  <c r="S37" i="10"/>
  <c r="R37" i="10"/>
  <c r="Q37" i="10"/>
  <c r="P37" i="10"/>
  <c r="O37" i="10"/>
  <c r="N37" i="10"/>
  <c r="M37" i="10"/>
  <c r="L37" i="10"/>
  <c r="K37" i="10"/>
  <c r="J37" i="10"/>
  <c r="I37" i="10"/>
  <c r="H37" i="10"/>
  <c r="W36" i="10"/>
  <c r="V36" i="10"/>
  <c r="U36" i="10"/>
  <c r="T36" i="10"/>
  <c r="S36" i="10"/>
  <c r="R36" i="10"/>
  <c r="Q36" i="10"/>
  <c r="P36" i="10"/>
  <c r="O36" i="10"/>
  <c r="N36" i="10"/>
  <c r="M36" i="10"/>
  <c r="L36" i="10"/>
  <c r="K36" i="10"/>
  <c r="J36" i="10"/>
  <c r="I36" i="10"/>
  <c r="H36" i="10"/>
  <c r="W35" i="10"/>
  <c r="V35" i="10"/>
  <c r="U35" i="10"/>
  <c r="T35" i="10"/>
  <c r="S35" i="10"/>
  <c r="R35" i="10"/>
  <c r="Q35" i="10"/>
  <c r="P35" i="10"/>
  <c r="O35" i="10"/>
  <c r="N35" i="10"/>
  <c r="M35" i="10"/>
  <c r="L35" i="10"/>
  <c r="K35" i="10"/>
  <c r="J35" i="10"/>
  <c r="I35" i="10"/>
  <c r="H35" i="10"/>
  <c r="W34" i="10"/>
  <c r="V34" i="10"/>
  <c r="U34" i="10"/>
  <c r="T34" i="10"/>
  <c r="S34" i="10"/>
  <c r="R34" i="10"/>
  <c r="Q34" i="10"/>
  <c r="P34" i="10"/>
  <c r="O34" i="10"/>
  <c r="N34" i="10"/>
  <c r="M34" i="10"/>
  <c r="L34" i="10"/>
  <c r="K34" i="10"/>
  <c r="J34" i="10"/>
  <c r="I34" i="10"/>
  <c r="H34" i="10"/>
  <c r="W33" i="10"/>
  <c r="V33" i="10"/>
  <c r="U33" i="10"/>
  <c r="T33" i="10"/>
  <c r="S33" i="10"/>
  <c r="R33" i="10"/>
  <c r="Q33" i="10"/>
  <c r="P33" i="10"/>
  <c r="O33" i="10"/>
  <c r="N33" i="10"/>
  <c r="M33" i="10"/>
  <c r="L33" i="10"/>
  <c r="K33" i="10"/>
  <c r="J33" i="10"/>
  <c r="I33" i="10"/>
  <c r="H33" i="10"/>
  <c r="W32" i="10"/>
  <c r="V32" i="10"/>
  <c r="U32" i="10"/>
  <c r="T32" i="10"/>
  <c r="S32" i="10"/>
  <c r="R32" i="10"/>
  <c r="Q32" i="10"/>
  <c r="P32" i="10"/>
  <c r="O32" i="10"/>
  <c r="N32" i="10"/>
  <c r="M32" i="10"/>
  <c r="L32" i="10"/>
  <c r="K32" i="10"/>
  <c r="J32" i="10"/>
  <c r="I32" i="10"/>
  <c r="H32" i="10"/>
  <c r="W31" i="10"/>
  <c r="V31" i="10"/>
  <c r="U31" i="10"/>
  <c r="T31" i="10"/>
  <c r="S31" i="10"/>
  <c r="R31" i="10"/>
  <c r="Q31" i="10"/>
  <c r="P31" i="10"/>
  <c r="O31" i="10"/>
  <c r="N31" i="10"/>
  <c r="M31" i="10"/>
  <c r="L31" i="10"/>
  <c r="K31" i="10"/>
  <c r="J31" i="10"/>
  <c r="I31" i="10"/>
  <c r="H31" i="10"/>
  <c r="W30" i="10"/>
  <c r="V30" i="10"/>
  <c r="U30" i="10"/>
  <c r="T30" i="10"/>
  <c r="S30" i="10"/>
  <c r="R30" i="10"/>
  <c r="Q30" i="10"/>
  <c r="P30" i="10"/>
  <c r="O30" i="10"/>
  <c r="N30" i="10"/>
  <c r="M30" i="10"/>
  <c r="L30" i="10"/>
  <c r="K30" i="10"/>
  <c r="J30" i="10"/>
  <c r="I30" i="10"/>
  <c r="H30" i="10"/>
  <c r="W29" i="10"/>
  <c r="V29" i="10"/>
  <c r="U29" i="10"/>
  <c r="T29" i="10"/>
  <c r="S29" i="10"/>
  <c r="R29" i="10"/>
  <c r="Q29" i="10"/>
  <c r="P29" i="10"/>
  <c r="O29" i="10"/>
  <c r="N29" i="10"/>
  <c r="M29" i="10"/>
  <c r="L29" i="10"/>
  <c r="K29" i="10"/>
  <c r="J29" i="10"/>
  <c r="I29" i="10"/>
  <c r="H29" i="10"/>
  <c r="W28" i="10"/>
  <c r="V28" i="10"/>
  <c r="U28" i="10"/>
  <c r="T28" i="10"/>
  <c r="S28" i="10"/>
  <c r="R28" i="10"/>
  <c r="Q28" i="10"/>
  <c r="P28" i="10"/>
  <c r="O28" i="10"/>
  <c r="N28" i="10"/>
  <c r="M28" i="10"/>
  <c r="L28" i="10"/>
  <c r="K28" i="10"/>
  <c r="J28" i="10"/>
  <c r="I28" i="10"/>
  <c r="H28" i="10"/>
  <c r="W27" i="10"/>
  <c r="V27" i="10"/>
  <c r="U27" i="10"/>
  <c r="T27" i="10"/>
  <c r="S27" i="10"/>
  <c r="R27" i="10"/>
  <c r="Q27" i="10"/>
  <c r="P27" i="10"/>
  <c r="O27" i="10"/>
  <c r="N27" i="10"/>
  <c r="M27" i="10"/>
  <c r="L27" i="10"/>
  <c r="K27" i="10"/>
  <c r="J27" i="10"/>
  <c r="I27" i="10"/>
  <c r="H27" i="10"/>
  <c r="W26" i="10"/>
  <c r="V26" i="10"/>
  <c r="U26" i="10"/>
  <c r="T26" i="10"/>
  <c r="S26" i="10"/>
  <c r="R26" i="10"/>
  <c r="Q26" i="10"/>
  <c r="P26" i="10"/>
  <c r="O26" i="10"/>
  <c r="N26" i="10"/>
  <c r="M26" i="10"/>
  <c r="L26" i="10"/>
  <c r="K26" i="10"/>
  <c r="J26" i="10"/>
  <c r="I26" i="10"/>
  <c r="H26" i="10"/>
  <c r="W25" i="10"/>
  <c r="V25" i="10"/>
  <c r="U25" i="10"/>
  <c r="T25" i="10"/>
  <c r="S25" i="10"/>
  <c r="R25" i="10"/>
  <c r="Q25" i="10"/>
  <c r="P25" i="10"/>
  <c r="O25" i="10"/>
  <c r="N25" i="10"/>
  <c r="M25" i="10"/>
  <c r="L25" i="10"/>
  <c r="K25" i="10"/>
  <c r="J25" i="10"/>
  <c r="I25" i="10"/>
  <c r="H25" i="10"/>
  <c r="W24" i="10"/>
  <c r="V24" i="10"/>
  <c r="U24" i="10"/>
  <c r="T24" i="10"/>
  <c r="S24" i="10"/>
  <c r="R24" i="10"/>
  <c r="Q24" i="10"/>
  <c r="P24" i="10"/>
  <c r="O24" i="10"/>
  <c r="N24" i="10"/>
  <c r="M24" i="10"/>
  <c r="L24" i="10"/>
  <c r="K24" i="10"/>
  <c r="J24" i="10"/>
  <c r="I24" i="10"/>
  <c r="H24" i="10"/>
  <c r="W23" i="10"/>
  <c r="V23" i="10"/>
  <c r="U23" i="10"/>
  <c r="T23" i="10"/>
  <c r="S23" i="10"/>
  <c r="R23" i="10"/>
  <c r="Q23" i="10"/>
  <c r="P23" i="10"/>
  <c r="O23" i="10"/>
  <c r="N23" i="10"/>
  <c r="M23" i="10"/>
  <c r="L23" i="10"/>
  <c r="K23" i="10"/>
  <c r="J23" i="10"/>
  <c r="I23" i="10"/>
  <c r="H23" i="10"/>
  <c r="W22" i="10"/>
  <c r="V22" i="10"/>
  <c r="U22" i="10"/>
  <c r="T22" i="10"/>
  <c r="S22" i="10"/>
  <c r="R22" i="10"/>
  <c r="Q22" i="10"/>
  <c r="P22" i="10"/>
  <c r="O22" i="10"/>
  <c r="N22" i="10"/>
  <c r="M22" i="10"/>
  <c r="L22" i="10"/>
  <c r="K22" i="10"/>
  <c r="J22" i="10"/>
  <c r="I22" i="10"/>
  <c r="H22" i="10"/>
  <c r="W21" i="10"/>
  <c r="V21" i="10"/>
  <c r="U21" i="10"/>
  <c r="T21" i="10"/>
  <c r="S21" i="10"/>
  <c r="R21" i="10"/>
  <c r="Q21" i="10"/>
  <c r="P21" i="10"/>
  <c r="O21" i="10"/>
  <c r="N21" i="10"/>
  <c r="M21" i="10"/>
  <c r="L21" i="10"/>
  <c r="K21" i="10"/>
  <c r="J21" i="10"/>
  <c r="I21" i="10"/>
  <c r="H21" i="10"/>
  <c r="W20" i="10"/>
  <c r="V20" i="10"/>
  <c r="U20" i="10"/>
  <c r="T20" i="10"/>
  <c r="S20" i="10"/>
  <c r="R20" i="10"/>
  <c r="Q20" i="10"/>
  <c r="P20" i="10"/>
  <c r="O20" i="10"/>
  <c r="N20" i="10"/>
  <c r="M20" i="10"/>
  <c r="L20" i="10"/>
  <c r="K20" i="10"/>
  <c r="J20" i="10"/>
  <c r="I20" i="10"/>
  <c r="H20" i="10"/>
  <c r="W19" i="10"/>
  <c r="V19" i="10"/>
  <c r="U19" i="10"/>
  <c r="T19" i="10"/>
  <c r="S19" i="10"/>
  <c r="R19" i="10"/>
  <c r="Q19" i="10"/>
  <c r="P19" i="10"/>
  <c r="O19" i="10"/>
  <c r="N19" i="10"/>
  <c r="M19" i="10"/>
  <c r="L19" i="10"/>
  <c r="K19" i="10"/>
  <c r="J19" i="10"/>
  <c r="I19" i="10"/>
  <c r="H19" i="10"/>
  <c r="W18" i="10"/>
  <c r="V18" i="10"/>
  <c r="U18" i="10"/>
  <c r="T18" i="10"/>
  <c r="S18" i="10"/>
  <c r="R18" i="10"/>
  <c r="Q18" i="10"/>
  <c r="P18" i="10"/>
  <c r="O18" i="10"/>
  <c r="N18" i="10"/>
  <c r="M18" i="10"/>
  <c r="L18" i="10"/>
  <c r="K18" i="10"/>
  <c r="J18" i="10"/>
  <c r="I18" i="10"/>
  <c r="H18" i="10"/>
  <c r="W17" i="10"/>
  <c r="V17" i="10"/>
  <c r="U17" i="10"/>
  <c r="T17" i="10"/>
  <c r="S17" i="10"/>
  <c r="R17" i="10"/>
  <c r="Q17" i="10"/>
  <c r="P17" i="10"/>
  <c r="O17" i="10"/>
  <c r="N17" i="10"/>
  <c r="M17" i="10"/>
  <c r="L17" i="10"/>
  <c r="K17" i="10"/>
  <c r="J17" i="10"/>
  <c r="I17" i="10"/>
  <c r="H17" i="10"/>
  <c r="W16" i="10"/>
  <c r="V16" i="10"/>
  <c r="U16" i="10"/>
  <c r="T16" i="10"/>
  <c r="S16" i="10"/>
  <c r="R16" i="10"/>
  <c r="Q16" i="10"/>
  <c r="P16" i="10"/>
  <c r="O16" i="10"/>
  <c r="N16" i="10"/>
  <c r="M16" i="10"/>
  <c r="L16" i="10"/>
  <c r="K16" i="10"/>
  <c r="J16" i="10"/>
  <c r="I16" i="10"/>
  <c r="H16" i="10"/>
  <c r="W15" i="10"/>
  <c r="V15" i="10"/>
  <c r="U15" i="10"/>
  <c r="T15" i="10"/>
  <c r="S15" i="10"/>
  <c r="R15" i="10"/>
  <c r="Q15" i="10"/>
  <c r="P15" i="10"/>
  <c r="O15" i="10"/>
  <c r="N15" i="10"/>
  <c r="M15" i="10"/>
  <c r="L15" i="10"/>
  <c r="K15" i="10"/>
  <c r="J15" i="10"/>
  <c r="I15" i="10"/>
  <c r="H15" i="10"/>
  <c r="W14" i="10"/>
  <c r="V14" i="10"/>
  <c r="U14" i="10"/>
  <c r="T14" i="10"/>
  <c r="S14" i="10"/>
  <c r="R14" i="10"/>
  <c r="Q14" i="10"/>
  <c r="P14" i="10"/>
  <c r="O14" i="10"/>
  <c r="N14" i="10"/>
  <c r="M14" i="10"/>
  <c r="L14" i="10"/>
  <c r="K14" i="10"/>
  <c r="J14" i="10"/>
  <c r="I14" i="10"/>
  <c r="H14" i="10"/>
  <c r="W13" i="10"/>
  <c r="V13" i="10"/>
  <c r="U13" i="10"/>
  <c r="T13" i="10"/>
  <c r="S13" i="10"/>
  <c r="R13" i="10"/>
  <c r="Q13" i="10"/>
  <c r="P13" i="10"/>
  <c r="O13" i="10"/>
  <c r="N13" i="10"/>
  <c r="M13" i="10"/>
  <c r="L13" i="10"/>
  <c r="K13" i="10"/>
  <c r="J13" i="10"/>
  <c r="I13" i="10"/>
  <c r="H13" i="10"/>
  <c r="W12" i="10"/>
  <c r="V12" i="10"/>
  <c r="U12" i="10"/>
  <c r="T12" i="10"/>
  <c r="S12" i="10"/>
  <c r="R12" i="10"/>
  <c r="Q12" i="10"/>
  <c r="P12" i="10"/>
  <c r="O12" i="10"/>
  <c r="N12" i="10"/>
  <c r="M12" i="10"/>
  <c r="L12" i="10"/>
  <c r="K12" i="10"/>
  <c r="J12" i="10"/>
  <c r="I12" i="10"/>
  <c r="H12" i="10"/>
  <c r="W11" i="10"/>
  <c r="V11" i="10"/>
  <c r="U11" i="10"/>
  <c r="T11" i="10"/>
  <c r="S11" i="10"/>
  <c r="R11" i="10"/>
  <c r="Q11" i="10"/>
  <c r="P11" i="10"/>
  <c r="O11" i="10"/>
  <c r="N11" i="10"/>
  <c r="M11" i="10"/>
  <c r="L11" i="10"/>
  <c r="K11" i="10"/>
  <c r="J11" i="10"/>
  <c r="I11" i="10"/>
  <c r="H11" i="10"/>
  <c r="W10" i="10"/>
  <c r="V10" i="10"/>
  <c r="U10" i="10"/>
  <c r="T10" i="10"/>
  <c r="S10" i="10"/>
  <c r="R10" i="10"/>
  <c r="Q10" i="10"/>
  <c r="P10" i="10"/>
  <c r="O10" i="10"/>
  <c r="N10" i="10"/>
  <c r="M10" i="10"/>
  <c r="L10" i="10"/>
  <c r="K10" i="10"/>
  <c r="J10" i="10"/>
  <c r="I10" i="10"/>
  <c r="H10" i="10"/>
  <c r="W9" i="10"/>
  <c r="V9" i="10"/>
  <c r="U9" i="10"/>
  <c r="T9" i="10"/>
  <c r="S9" i="10"/>
  <c r="R9" i="10"/>
  <c r="Q9" i="10"/>
  <c r="P9" i="10"/>
  <c r="O9" i="10"/>
  <c r="N9" i="10"/>
  <c r="M9" i="10"/>
  <c r="L9" i="10"/>
  <c r="K9" i="10"/>
  <c r="J9" i="10"/>
  <c r="I9" i="10"/>
  <c r="H9" i="10"/>
  <c r="W8" i="10"/>
  <c r="V8" i="10"/>
  <c r="U8" i="10"/>
  <c r="T8" i="10"/>
  <c r="S8" i="10"/>
  <c r="R8" i="10"/>
  <c r="Q8" i="10"/>
  <c r="P8" i="10"/>
  <c r="O8" i="10"/>
  <c r="N8" i="10"/>
  <c r="M8" i="10"/>
  <c r="L8" i="10"/>
  <c r="K8" i="10"/>
  <c r="J8" i="10"/>
  <c r="I8" i="10"/>
  <c r="H8" i="10"/>
  <c r="W7" i="10"/>
  <c r="V7" i="10"/>
  <c r="U7" i="10"/>
  <c r="T7" i="10"/>
  <c r="S7" i="10"/>
  <c r="R7" i="10"/>
  <c r="Q7" i="10"/>
  <c r="P7" i="10"/>
  <c r="O7" i="10"/>
  <c r="N7" i="10"/>
  <c r="M7" i="10"/>
  <c r="L7" i="10"/>
  <c r="K7" i="10"/>
  <c r="J7" i="10"/>
  <c r="I7" i="10"/>
  <c r="H7" i="10"/>
  <c r="W6" i="10"/>
  <c r="V6" i="10"/>
  <c r="U6" i="10"/>
  <c r="T6" i="10"/>
  <c r="S6" i="10"/>
  <c r="R6" i="10"/>
  <c r="Q6" i="10"/>
  <c r="P6" i="10"/>
  <c r="O6" i="10"/>
  <c r="N6" i="10"/>
  <c r="M6" i="10"/>
  <c r="L6" i="10"/>
  <c r="K6" i="10"/>
  <c r="J6" i="10"/>
  <c r="I6" i="10"/>
  <c r="H6" i="10"/>
  <c r="W5" i="10"/>
  <c r="V5" i="10"/>
  <c r="U5" i="10"/>
  <c r="T5" i="10"/>
  <c r="S5" i="10"/>
  <c r="R5" i="10"/>
  <c r="Q5" i="10"/>
  <c r="P5" i="10"/>
  <c r="O5" i="10"/>
  <c r="N5" i="10"/>
  <c r="M5" i="10"/>
  <c r="L5" i="10"/>
  <c r="K5" i="10"/>
  <c r="J5" i="10"/>
  <c r="I5" i="10"/>
  <c r="H5" i="10"/>
  <c r="W4" i="10"/>
  <c r="V4" i="10"/>
  <c r="U4" i="10"/>
  <c r="T4" i="10"/>
  <c r="S4" i="10"/>
  <c r="R4" i="10"/>
  <c r="Q4" i="10"/>
  <c r="P4" i="10"/>
  <c r="O4" i="10"/>
  <c r="N4" i="10"/>
  <c r="M4" i="10"/>
  <c r="L4" i="10"/>
  <c r="K4" i="10"/>
  <c r="J4" i="10"/>
  <c r="I4" i="10"/>
  <c r="H4" i="10"/>
  <c r="W3" i="10"/>
  <c r="V3" i="10"/>
  <c r="U3" i="10"/>
  <c r="T3" i="10"/>
  <c r="S3" i="10"/>
  <c r="R3" i="10"/>
  <c r="Q3" i="10"/>
  <c r="P3" i="10"/>
  <c r="O3" i="10"/>
  <c r="N3" i="10"/>
  <c r="M3" i="10"/>
  <c r="L3" i="10"/>
  <c r="K3" i="10"/>
  <c r="J3" i="10"/>
  <c r="H3" i="10"/>
  <c r="Q366" i="9"/>
  <c r="G366" i="9"/>
  <c r="F366" i="9"/>
  <c r="E366" i="9"/>
  <c r="D366" i="9"/>
  <c r="C366" i="9"/>
  <c r="B366" i="9"/>
  <c r="A366" i="9"/>
  <c r="Q365" i="9"/>
  <c r="G365" i="9"/>
  <c r="F365" i="9"/>
  <c r="E365" i="9"/>
  <c r="D365" i="9"/>
  <c r="C365" i="9"/>
  <c r="B365" i="9"/>
  <c r="A365" i="9"/>
  <c r="Q364" i="9"/>
  <c r="G364" i="9"/>
  <c r="F364" i="9"/>
  <c r="E364" i="9"/>
  <c r="D364" i="9"/>
  <c r="C364" i="9"/>
  <c r="B364" i="9"/>
  <c r="A364" i="9"/>
  <c r="Q363" i="9"/>
  <c r="G363" i="9"/>
  <c r="F363" i="9"/>
  <c r="E363" i="9"/>
  <c r="D363" i="9"/>
  <c r="C363" i="9"/>
  <c r="B363" i="9"/>
  <c r="A363" i="9"/>
  <c r="Q362" i="9"/>
  <c r="G362" i="9"/>
  <c r="F362" i="9"/>
  <c r="E362" i="9"/>
  <c r="D362" i="9"/>
  <c r="C362" i="9"/>
  <c r="B362" i="9"/>
  <c r="A362" i="9"/>
  <c r="Q361" i="9"/>
  <c r="G361" i="9"/>
  <c r="F361" i="9"/>
  <c r="E361" i="9"/>
  <c r="D361" i="9"/>
  <c r="C361" i="9"/>
  <c r="B361" i="9"/>
  <c r="A361" i="9"/>
  <c r="Q360" i="9"/>
  <c r="G360" i="9"/>
  <c r="F360" i="9"/>
  <c r="E360" i="9"/>
  <c r="D360" i="9"/>
  <c r="C360" i="9"/>
  <c r="B360" i="9"/>
  <c r="A360" i="9"/>
  <c r="Q359" i="9"/>
  <c r="G359" i="9"/>
  <c r="F359" i="9"/>
  <c r="E359" i="9"/>
  <c r="D359" i="9"/>
  <c r="C359" i="9"/>
  <c r="B359" i="9"/>
  <c r="A359" i="9"/>
  <c r="Q358" i="9"/>
  <c r="G358" i="9"/>
  <c r="F358" i="9"/>
  <c r="E358" i="9"/>
  <c r="D358" i="9"/>
  <c r="C358" i="9"/>
  <c r="B358" i="9"/>
  <c r="A358" i="9"/>
  <c r="Q357" i="9"/>
  <c r="G357" i="9"/>
  <c r="F357" i="9"/>
  <c r="E357" i="9"/>
  <c r="D357" i="9"/>
  <c r="C357" i="9"/>
  <c r="B357" i="9"/>
  <c r="A357" i="9"/>
  <c r="Q356" i="9"/>
  <c r="G356" i="9"/>
  <c r="F356" i="9"/>
  <c r="E356" i="9"/>
  <c r="D356" i="9"/>
  <c r="C356" i="9"/>
  <c r="B356" i="9"/>
  <c r="A356" i="9"/>
  <c r="Q355" i="9"/>
  <c r="G355" i="9"/>
  <c r="F355" i="9"/>
  <c r="E355" i="9"/>
  <c r="D355" i="9"/>
  <c r="C355" i="9"/>
  <c r="B355" i="9"/>
  <c r="A355" i="9"/>
  <c r="Q354" i="9"/>
  <c r="L354" i="9"/>
  <c r="G354" i="9"/>
  <c r="F354" i="9"/>
  <c r="E354" i="9"/>
  <c r="D354" i="9"/>
  <c r="C354" i="9"/>
  <c r="B354" i="9"/>
  <c r="A354" i="9"/>
  <c r="Q353" i="9"/>
  <c r="G353" i="9"/>
  <c r="F353" i="9"/>
  <c r="E353" i="9"/>
  <c r="D353" i="9"/>
  <c r="C353" i="9"/>
  <c r="B353" i="9"/>
  <c r="A353" i="9"/>
  <c r="Q352" i="9"/>
  <c r="G352" i="9"/>
  <c r="F352" i="9"/>
  <c r="E352" i="9"/>
  <c r="D352" i="9"/>
  <c r="C352" i="9"/>
  <c r="B352" i="9"/>
  <c r="A352" i="9"/>
  <c r="Q351" i="9"/>
  <c r="G351" i="9"/>
  <c r="F351" i="9"/>
  <c r="E351" i="9"/>
  <c r="D351" i="9"/>
  <c r="C351" i="9"/>
  <c r="B351" i="9"/>
  <c r="A351" i="9"/>
  <c r="Q350" i="9"/>
  <c r="G350" i="9"/>
  <c r="F350" i="9"/>
  <c r="E350" i="9"/>
  <c r="D350" i="9"/>
  <c r="C350" i="9"/>
  <c r="B350" i="9"/>
  <c r="A350" i="9"/>
  <c r="Q349" i="9"/>
  <c r="G349" i="9"/>
  <c r="F349" i="9"/>
  <c r="E349" i="9"/>
  <c r="D349" i="9"/>
  <c r="C349" i="9"/>
  <c r="B349" i="9"/>
  <c r="A349" i="9"/>
  <c r="Q348" i="9"/>
  <c r="G348" i="9"/>
  <c r="F348" i="9"/>
  <c r="E348" i="9"/>
  <c r="D348" i="9"/>
  <c r="C348" i="9"/>
  <c r="B348" i="9"/>
  <c r="A348" i="9"/>
  <c r="L347" i="9"/>
  <c r="G347" i="9"/>
  <c r="F347" i="9"/>
  <c r="E347" i="9"/>
  <c r="D347" i="9"/>
  <c r="C347" i="9"/>
  <c r="B347" i="9"/>
  <c r="A347" i="9"/>
  <c r="Q346" i="9"/>
  <c r="P346" i="9"/>
  <c r="L346" i="9"/>
  <c r="J346" i="9"/>
  <c r="G346" i="9"/>
  <c r="F346" i="9"/>
  <c r="E346" i="9"/>
  <c r="D346" i="9"/>
  <c r="C346" i="9"/>
  <c r="B346" i="9"/>
  <c r="A346" i="9"/>
  <c r="Q345" i="9"/>
  <c r="P345" i="9"/>
  <c r="L345" i="9"/>
  <c r="J345" i="9"/>
  <c r="G345" i="9"/>
  <c r="F345" i="9"/>
  <c r="E345" i="9"/>
  <c r="D345" i="9"/>
  <c r="C345" i="9"/>
  <c r="B345" i="9"/>
  <c r="A345" i="9"/>
  <c r="L344" i="9"/>
  <c r="G344" i="9"/>
  <c r="F344" i="9"/>
  <c r="E344" i="9"/>
  <c r="D344" i="9"/>
  <c r="C344" i="9"/>
  <c r="B344" i="9"/>
  <c r="A344" i="9"/>
  <c r="Q343" i="9"/>
  <c r="P343" i="9"/>
  <c r="L343" i="9"/>
  <c r="J343" i="9"/>
  <c r="G343" i="9"/>
  <c r="F343" i="9"/>
  <c r="E343" i="9"/>
  <c r="D343" i="9"/>
  <c r="C343" i="9"/>
  <c r="B343" i="9"/>
  <c r="A343" i="9"/>
  <c r="P342" i="9"/>
  <c r="L342" i="9"/>
  <c r="J342" i="9"/>
  <c r="G342" i="9"/>
  <c r="F342" i="9"/>
  <c r="E342" i="9"/>
  <c r="D342" i="9"/>
  <c r="C342" i="9"/>
  <c r="B342" i="9"/>
  <c r="A342" i="9"/>
  <c r="P341" i="9"/>
  <c r="L341" i="9"/>
  <c r="J341" i="9"/>
  <c r="G341" i="9"/>
  <c r="F341" i="9"/>
  <c r="E341" i="9"/>
  <c r="D341" i="9"/>
  <c r="C341" i="9"/>
  <c r="B341" i="9"/>
  <c r="A341" i="9"/>
  <c r="Q340" i="9"/>
  <c r="P340" i="9"/>
  <c r="L340" i="9"/>
  <c r="J340" i="9"/>
  <c r="G340" i="9"/>
  <c r="F340" i="9"/>
  <c r="E340" i="9"/>
  <c r="D340" i="9"/>
  <c r="C340" i="9"/>
  <c r="B340" i="9"/>
  <c r="A340" i="9"/>
  <c r="Q339" i="9"/>
  <c r="P339" i="9"/>
  <c r="L339" i="9"/>
  <c r="G339" i="9"/>
  <c r="F339" i="9"/>
  <c r="E339" i="9"/>
  <c r="D339" i="9"/>
  <c r="C339" i="9"/>
  <c r="B339" i="9"/>
  <c r="A339" i="9"/>
  <c r="Q338" i="9"/>
  <c r="P338" i="9"/>
  <c r="L338" i="9"/>
  <c r="G338" i="9"/>
  <c r="F338" i="9"/>
  <c r="E338" i="9"/>
  <c r="D338" i="9"/>
  <c r="C338" i="9"/>
  <c r="B338" i="9"/>
  <c r="A338" i="9"/>
  <c r="Q337" i="9"/>
  <c r="P337" i="9"/>
  <c r="L337" i="9"/>
  <c r="J337" i="9"/>
  <c r="G337" i="9"/>
  <c r="F337" i="9"/>
  <c r="E337" i="9"/>
  <c r="D337" i="9"/>
  <c r="C337" i="9"/>
  <c r="B337" i="9"/>
  <c r="A337" i="9"/>
  <c r="Q336" i="9"/>
  <c r="P336" i="9"/>
  <c r="L336" i="9"/>
  <c r="J336" i="9"/>
  <c r="G336" i="9"/>
  <c r="F336" i="9"/>
  <c r="E336" i="9"/>
  <c r="D336" i="9"/>
  <c r="C336" i="9"/>
  <c r="B336" i="9"/>
  <c r="A336" i="9"/>
  <c r="Q335" i="9"/>
  <c r="P335" i="9"/>
  <c r="L335" i="9"/>
  <c r="J335" i="9"/>
  <c r="G335" i="9"/>
  <c r="F335" i="9"/>
  <c r="E335" i="9"/>
  <c r="D335" i="9"/>
  <c r="C335" i="9"/>
  <c r="B335" i="9"/>
  <c r="A335" i="9"/>
  <c r="Q334" i="9"/>
  <c r="P334" i="9"/>
  <c r="L334" i="9"/>
  <c r="G334" i="9"/>
  <c r="F334" i="9"/>
  <c r="E334" i="9"/>
  <c r="D334" i="9"/>
  <c r="C334" i="9"/>
  <c r="B334" i="9"/>
  <c r="A334" i="9"/>
  <c r="Q333" i="9"/>
  <c r="P333" i="9"/>
  <c r="L333" i="9"/>
  <c r="J333" i="9"/>
  <c r="G333" i="9"/>
  <c r="F333" i="9"/>
  <c r="E333" i="9"/>
  <c r="D333" i="9"/>
  <c r="C333" i="9"/>
  <c r="B333" i="9"/>
  <c r="A333" i="9"/>
  <c r="Q332" i="9"/>
  <c r="P332" i="9"/>
  <c r="L332" i="9"/>
  <c r="J332" i="9"/>
  <c r="G332" i="9"/>
  <c r="F332" i="9"/>
  <c r="E332" i="9"/>
  <c r="D332" i="9"/>
  <c r="C332" i="9"/>
  <c r="B332" i="9"/>
  <c r="A332" i="9"/>
  <c r="Q331" i="9"/>
  <c r="J331" i="9"/>
  <c r="G331" i="9"/>
  <c r="F331" i="9"/>
  <c r="E331" i="9"/>
  <c r="D331" i="9"/>
  <c r="C331" i="9"/>
  <c r="B331" i="9"/>
  <c r="A331" i="9"/>
  <c r="P330" i="9"/>
  <c r="O330" i="9"/>
  <c r="L330" i="9"/>
  <c r="G330" i="9"/>
  <c r="F330" i="9"/>
  <c r="E330" i="9"/>
  <c r="D330" i="9"/>
  <c r="C330" i="9"/>
  <c r="B330" i="9"/>
  <c r="A330" i="9"/>
  <c r="P329" i="9"/>
  <c r="L329" i="9"/>
  <c r="J329" i="9"/>
  <c r="G329" i="9"/>
  <c r="F329" i="9"/>
  <c r="E329" i="9"/>
  <c r="D329" i="9"/>
  <c r="C329" i="9"/>
  <c r="B329" i="9"/>
  <c r="A329" i="9"/>
  <c r="Q328" i="9"/>
  <c r="P328" i="9"/>
  <c r="J328" i="9"/>
  <c r="G328" i="9"/>
  <c r="F328" i="9"/>
  <c r="E328" i="9"/>
  <c r="D328" i="9"/>
  <c r="C328" i="9"/>
  <c r="B328" i="9"/>
  <c r="A328" i="9"/>
  <c r="Q327" i="9"/>
  <c r="M327" i="9"/>
  <c r="F327" i="9"/>
  <c r="E327" i="9"/>
  <c r="D327" i="9"/>
  <c r="C327" i="9"/>
  <c r="B327" i="9"/>
  <c r="A327" i="9"/>
  <c r="Q326" i="9"/>
  <c r="M326" i="9"/>
  <c r="F326" i="9"/>
  <c r="E326" i="9"/>
  <c r="D326" i="9"/>
  <c r="C326" i="9"/>
  <c r="B326" i="9"/>
  <c r="A326" i="9"/>
  <c r="Q325" i="9"/>
  <c r="M325" i="9"/>
  <c r="F325" i="9"/>
  <c r="E325" i="9"/>
  <c r="D325" i="9"/>
  <c r="C325" i="9"/>
  <c r="B325" i="9"/>
  <c r="A325" i="9"/>
  <c r="M324" i="9"/>
  <c r="F324" i="9"/>
  <c r="E324" i="9"/>
  <c r="D324" i="9"/>
  <c r="C324" i="9"/>
  <c r="B324" i="9"/>
  <c r="A324" i="9"/>
  <c r="Q323" i="9"/>
  <c r="M323" i="9"/>
  <c r="F323" i="9"/>
  <c r="E323" i="9"/>
  <c r="D323" i="9"/>
  <c r="C323" i="9"/>
  <c r="B323" i="9"/>
  <c r="A323" i="9"/>
  <c r="Q322" i="9"/>
  <c r="M322" i="9"/>
  <c r="F322" i="9"/>
  <c r="E322" i="9"/>
  <c r="D322" i="9"/>
  <c r="C322" i="9"/>
  <c r="B322" i="9"/>
  <c r="A322" i="9"/>
  <c r="Q321" i="9"/>
  <c r="M321" i="9"/>
  <c r="F321" i="9"/>
  <c r="E321" i="9"/>
  <c r="D321" i="9"/>
  <c r="C321" i="9"/>
  <c r="B321" i="9"/>
  <c r="A321" i="9"/>
  <c r="M320" i="9"/>
  <c r="F320" i="9"/>
  <c r="E320" i="9"/>
  <c r="D320" i="9"/>
  <c r="C320" i="9"/>
  <c r="B320" i="9"/>
  <c r="A320" i="9"/>
  <c r="M319" i="9"/>
  <c r="F319" i="9"/>
  <c r="E319" i="9"/>
  <c r="D319" i="9"/>
  <c r="C319" i="9"/>
  <c r="B319" i="9"/>
  <c r="A319" i="9"/>
  <c r="M318" i="9"/>
  <c r="F318" i="9"/>
  <c r="E318" i="9"/>
  <c r="D318" i="9"/>
  <c r="C318" i="9"/>
  <c r="B318" i="9"/>
  <c r="A318" i="9"/>
  <c r="M317" i="9"/>
  <c r="F317" i="9"/>
  <c r="E317" i="9"/>
  <c r="D317" i="9"/>
  <c r="C317" i="9"/>
  <c r="B317" i="9"/>
  <c r="A317" i="9"/>
  <c r="R316" i="9"/>
  <c r="P316" i="9"/>
  <c r="O316" i="9"/>
  <c r="H316" i="9"/>
  <c r="F316" i="9"/>
  <c r="E316" i="9"/>
  <c r="D316" i="9"/>
  <c r="C316" i="9"/>
  <c r="B316" i="9"/>
  <c r="A316" i="9"/>
  <c r="R315" i="9"/>
  <c r="P315" i="9"/>
  <c r="O315" i="9"/>
  <c r="L315" i="9"/>
  <c r="K315" i="9"/>
  <c r="H315" i="9"/>
  <c r="F315" i="9"/>
  <c r="E315" i="9"/>
  <c r="D315" i="9"/>
  <c r="C315" i="9"/>
  <c r="B315" i="9"/>
  <c r="A315" i="9"/>
  <c r="R314" i="9"/>
  <c r="P314" i="9"/>
  <c r="H314" i="9"/>
  <c r="F314" i="9"/>
  <c r="E314" i="9"/>
  <c r="D314" i="9"/>
  <c r="C314" i="9"/>
  <c r="B314" i="9"/>
  <c r="A314" i="9"/>
  <c r="R313" i="9"/>
  <c r="P313" i="9"/>
  <c r="H313" i="9"/>
  <c r="F313" i="9"/>
  <c r="E313" i="9"/>
  <c r="D313" i="9"/>
  <c r="C313" i="9"/>
  <c r="B313" i="9"/>
  <c r="A313" i="9"/>
  <c r="R312" i="9"/>
  <c r="P312" i="9"/>
  <c r="K312" i="9"/>
  <c r="H312" i="9"/>
  <c r="F312" i="9"/>
  <c r="E312" i="9"/>
  <c r="D312" i="9"/>
  <c r="C312" i="9"/>
  <c r="B312" i="9"/>
  <c r="A312" i="9"/>
  <c r="R311" i="9"/>
  <c r="P311" i="9"/>
  <c r="K311" i="9"/>
  <c r="H311" i="9"/>
  <c r="F311" i="9"/>
  <c r="E311" i="9"/>
  <c r="D311" i="9"/>
  <c r="C311" i="9"/>
  <c r="B311" i="9"/>
  <c r="A311" i="9"/>
  <c r="R310" i="9"/>
  <c r="P310" i="9"/>
  <c r="L310" i="9"/>
  <c r="K310" i="9"/>
  <c r="H310" i="9"/>
  <c r="F310" i="9"/>
  <c r="E310" i="9"/>
  <c r="D310" i="9"/>
  <c r="C310" i="9"/>
  <c r="B310" i="9"/>
  <c r="A310" i="9"/>
  <c r="R309" i="9"/>
  <c r="P309" i="9"/>
  <c r="K309" i="9"/>
  <c r="H309" i="9"/>
  <c r="F309" i="9"/>
  <c r="E309" i="9"/>
  <c r="D309" i="9"/>
  <c r="C309" i="9"/>
  <c r="B309" i="9"/>
  <c r="A309" i="9"/>
  <c r="R308" i="9"/>
  <c r="P308" i="9"/>
  <c r="K308" i="9"/>
  <c r="H308" i="9"/>
  <c r="F308" i="9"/>
  <c r="E308" i="9"/>
  <c r="D308" i="9"/>
  <c r="C308" i="9"/>
  <c r="B308" i="9"/>
  <c r="A308" i="9"/>
  <c r="R307" i="9"/>
  <c r="P307" i="9"/>
  <c r="K307" i="9"/>
  <c r="H307" i="9"/>
  <c r="F307" i="9"/>
  <c r="E307" i="9"/>
  <c r="D307" i="9"/>
  <c r="C307" i="9"/>
  <c r="B307" i="9"/>
  <c r="A307" i="9"/>
  <c r="R306" i="9"/>
  <c r="P306" i="9"/>
  <c r="K306" i="9"/>
  <c r="H306" i="9"/>
  <c r="F306" i="9"/>
  <c r="E306" i="9"/>
  <c r="D306" i="9"/>
  <c r="C306" i="9"/>
  <c r="B306" i="9"/>
  <c r="A306" i="9"/>
  <c r="R305" i="9"/>
  <c r="P305" i="9"/>
  <c r="K305" i="9"/>
  <c r="H305" i="9"/>
  <c r="F305" i="9"/>
  <c r="E305" i="9"/>
  <c r="D305" i="9"/>
  <c r="C305" i="9"/>
  <c r="B305" i="9"/>
  <c r="A305" i="9"/>
  <c r="R304" i="9"/>
  <c r="P304" i="9"/>
  <c r="O304" i="9"/>
  <c r="H304" i="9"/>
  <c r="F304" i="9"/>
  <c r="E304" i="9"/>
  <c r="D304" i="9"/>
  <c r="C304" i="9"/>
  <c r="B304" i="9"/>
  <c r="A304" i="9"/>
  <c r="R303" i="9"/>
  <c r="P303" i="9"/>
  <c r="H303" i="9"/>
  <c r="F303" i="9"/>
  <c r="E303" i="9"/>
  <c r="D303" i="9"/>
  <c r="C303" i="9"/>
  <c r="B303" i="9"/>
  <c r="A303" i="9"/>
  <c r="R302" i="9"/>
  <c r="P302" i="9"/>
  <c r="K302" i="9"/>
  <c r="H302" i="9"/>
  <c r="F302" i="9"/>
  <c r="E302" i="9"/>
  <c r="D302" i="9"/>
  <c r="C302" i="9"/>
  <c r="B302" i="9"/>
  <c r="A302" i="9"/>
  <c r="R301" i="9"/>
  <c r="P301" i="9"/>
  <c r="K301" i="9"/>
  <c r="H301" i="9"/>
  <c r="F301" i="9"/>
  <c r="E301" i="9"/>
  <c r="D301" i="9"/>
  <c r="C301" i="9"/>
  <c r="B301" i="9"/>
  <c r="A301" i="9"/>
  <c r="P300" i="9"/>
  <c r="F300" i="9"/>
  <c r="E300" i="9"/>
  <c r="D300" i="9"/>
  <c r="C300" i="9"/>
  <c r="B300" i="9"/>
  <c r="A300" i="9"/>
  <c r="P299" i="9"/>
  <c r="F299" i="9"/>
  <c r="E299" i="9"/>
  <c r="D299" i="9"/>
  <c r="C299" i="9"/>
  <c r="B299" i="9"/>
  <c r="A299" i="9"/>
  <c r="P298" i="9"/>
  <c r="F298" i="9"/>
  <c r="E298" i="9"/>
  <c r="D298" i="9"/>
  <c r="C298" i="9"/>
  <c r="B298" i="9"/>
  <c r="A298" i="9"/>
  <c r="P297" i="9"/>
  <c r="F297" i="9"/>
  <c r="E297" i="9"/>
  <c r="D297" i="9"/>
  <c r="C297" i="9"/>
  <c r="B297" i="9"/>
  <c r="A297" i="9"/>
  <c r="P296" i="9"/>
  <c r="F296" i="9"/>
  <c r="E296" i="9"/>
  <c r="D296" i="9"/>
  <c r="C296" i="9"/>
  <c r="B296" i="9"/>
  <c r="A296" i="9"/>
  <c r="P295" i="9"/>
  <c r="F295" i="9"/>
  <c r="E295" i="9"/>
  <c r="D295" i="9"/>
  <c r="C295" i="9"/>
  <c r="B295" i="9"/>
  <c r="A295" i="9"/>
  <c r="P294" i="9"/>
  <c r="F294" i="9"/>
  <c r="E294" i="9"/>
  <c r="D294" i="9"/>
  <c r="C294" i="9"/>
  <c r="B294" i="9"/>
  <c r="A294" i="9"/>
  <c r="P293" i="9"/>
  <c r="F293" i="9"/>
  <c r="E293" i="9"/>
  <c r="D293" i="9"/>
  <c r="C293" i="9"/>
  <c r="B293" i="9"/>
  <c r="A293" i="9"/>
  <c r="P292" i="9"/>
  <c r="F292" i="9"/>
  <c r="E292" i="9"/>
  <c r="D292" i="9"/>
  <c r="C292" i="9"/>
  <c r="B292" i="9"/>
  <c r="A292" i="9"/>
  <c r="P291" i="9"/>
  <c r="F291" i="9"/>
  <c r="E291" i="9"/>
  <c r="D291" i="9"/>
  <c r="C291" i="9"/>
  <c r="B291" i="9"/>
  <c r="A291" i="9"/>
  <c r="P290" i="9"/>
  <c r="F290" i="9"/>
  <c r="E290" i="9"/>
  <c r="D290" i="9"/>
  <c r="C290" i="9"/>
  <c r="B290" i="9"/>
  <c r="A290" i="9"/>
  <c r="P289" i="9"/>
  <c r="F289" i="9"/>
  <c r="E289" i="9"/>
  <c r="D289" i="9"/>
  <c r="C289" i="9"/>
  <c r="B289" i="9"/>
  <c r="A289" i="9"/>
  <c r="P288" i="9"/>
  <c r="F288" i="9"/>
  <c r="E288" i="9"/>
  <c r="D288" i="9"/>
  <c r="C288" i="9"/>
  <c r="B288" i="9"/>
  <c r="A288" i="9"/>
  <c r="P287" i="9"/>
  <c r="F287" i="9"/>
  <c r="E287" i="9"/>
  <c r="D287" i="9"/>
  <c r="C287" i="9"/>
  <c r="B287" i="9"/>
  <c r="A287" i="9"/>
  <c r="P286" i="9"/>
  <c r="F286" i="9"/>
  <c r="E286" i="9"/>
  <c r="D286" i="9"/>
  <c r="C286" i="9"/>
  <c r="B286" i="9"/>
  <c r="A286" i="9"/>
  <c r="P285" i="9"/>
  <c r="F285" i="9"/>
  <c r="E285" i="9"/>
  <c r="D285" i="9"/>
  <c r="C285" i="9"/>
  <c r="B285" i="9"/>
  <c r="A285" i="9"/>
  <c r="P284" i="9"/>
  <c r="F284" i="9"/>
  <c r="E284" i="9"/>
  <c r="D284" i="9"/>
  <c r="C284" i="9"/>
  <c r="B284" i="9"/>
  <c r="A284" i="9"/>
  <c r="P283" i="9"/>
  <c r="F283" i="9"/>
  <c r="E283" i="9"/>
  <c r="D283" i="9"/>
  <c r="C283" i="9"/>
  <c r="B283" i="9"/>
  <c r="A283" i="9"/>
  <c r="P282" i="9"/>
  <c r="F282" i="9"/>
  <c r="E282" i="9"/>
  <c r="D282" i="9"/>
  <c r="C282" i="9"/>
  <c r="B282" i="9"/>
  <c r="A282" i="9"/>
  <c r="P281" i="9"/>
  <c r="F281" i="9"/>
  <c r="E281" i="9"/>
  <c r="D281" i="9"/>
  <c r="C281" i="9"/>
  <c r="B281" i="9"/>
  <c r="A281" i="9"/>
  <c r="P280" i="9"/>
  <c r="F280" i="9"/>
  <c r="E280" i="9"/>
  <c r="D280" i="9"/>
  <c r="C280" i="9"/>
  <c r="B280" i="9"/>
  <c r="A280" i="9"/>
  <c r="P279" i="9"/>
  <c r="F279" i="9"/>
  <c r="E279" i="9"/>
  <c r="D279" i="9"/>
  <c r="C279" i="9"/>
  <c r="B279" i="9"/>
  <c r="A279" i="9"/>
  <c r="P278" i="9"/>
  <c r="F278" i="9"/>
  <c r="E278" i="9"/>
  <c r="D278" i="9"/>
  <c r="C278" i="9"/>
  <c r="B278" i="9"/>
  <c r="A278" i="9"/>
  <c r="P277" i="9"/>
  <c r="F277" i="9"/>
  <c r="E277" i="9"/>
  <c r="D277" i="9"/>
  <c r="C277" i="9"/>
  <c r="B277" i="9"/>
  <c r="A277" i="9"/>
  <c r="P276" i="9"/>
  <c r="F276" i="9"/>
  <c r="E276" i="9"/>
  <c r="D276" i="9"/>
  <c r="C276" i="9"/>
  <c r="B276" i="9"/>
  <c r="A276" i="9"/>
  <c r="P275" i="9"/>
  <c r="F275" i="9"/>
  <c r="E275" i="9"/>
  <c r="D275" i="9"/>
  <c r="C275" i="9"/>
  <c r="B275" i="9"/>
  <c r="A275" i="9"/>
  <c r="P274" i="9"/>
  <c r="F274" i="9"/>
  <c r="E274" i="9"/>
  <c r="D274" i="9"/>
  <c r="C274" i="9"/>
  <c r="B274" i="9"/>
  <c r="A274" i="9"/>
  <c r="P273" i="9"/>
  <c r="F273" i="9"/>
  <c r="E273" i="9"/>
  <c r="D273" i="9"/>
  <c r="C273" i="9"/>
  <c r="B273" i="9"/>
  <c r="A273" i="9"/>
  <c r="P272" i="9"/>
  <c r="F272" i="9"/>
  <c r="E272" i="9"/>
  <c r="D272" i="9"/>
  <c r="C272" i="9"/>
  <c r="B272" i="9"/>
  <c r="A272" i="9"/>
  <c r="P271" i="9"/>
  <c r="F271" i="9"/>
  <c r="E271" i="9"/>
  <c r="D271" i="9"/>
  <c r="C271" i="9"/>
  <c r="B271" i="9"/>
  <c r="A271" i="9"/>
  <c r="P270" i="9"/>
  <c r="F270" i="9"/>
  <c r="E270" i="9"/>
  <c r="D270" i="9"/>
  <c r="C270" i="9"/>
  <c r="B270" i="9"/>
  <c r="A270" i="9"/>
  <c r="P269" i="9"/>
  <c r="F269" i="9"/>
  <c r="E269" i="9"/>
  <c r="D269" i="9"/>
  <c r="C269" i="9"/>
  <c r="B269" i="9"/>
  <c r="A269" i="9"/>
  <c r="P268" i="9"/>
  <c r="F268" i="9"/>
  <c r="E268" i="9"/>
  <c r="D268" i="9"/>
  <c r="C268" i="9"/>
  <c r="B268" i="9"/>
  <c r="A268" i="9"/>
  <c r="P267" i="9"/>
  <c r="F267" i="9"/>
  <c r="E267" i="9"/>
  <c r="D267" i="9"/>
  <c r="C267" i="9"/>
  <c r="B267" i="9"/>
  <c r="A267" i="9"/>
  <c r="P266" i="9"/>
  <c r="F266" i="9"/>
  <c r="E266" i="9"/>
  <c r="D266" i="9"/>
  <c r="C266" i="9"/>
  <c r="B266" i="9"/>
  <c r="A266" i="9"/>
  <c r="P265" i="9"/>
  <c r="F265" i="9"/>
  <c r="E265" i="9"/>
  <c r="D265" i="9"/>
  <c r="C265" i="9"/>
  <c r="B265" i="9"/>
  <c r="A265" i="9"/>
  <c r="P264" i="9"/>
  <c r="F264" i="9"/>
  <c r="E264" i="9"/>
  <c r="D264" i="9"/>
  <c r="C264" i="9"/>
  <c r="B264" i="9"/>
  <c r="A264" i="9"/>
  <c r="P263" i="9"/>
  <c r="F263" i="9"/>
  <c r="E263" i="9"/>
  <c r="D263" i="9"/>
  <c r="C263" i="9"/>
  <c r="B263" i="9"/>
  <c r="A263" i="9"/>
  <c r="P262" i="9"/>
  <c r="F262" i="9"/>
  <c r="E262" i="9"/>
  <c r="D262" i="9"/>
  <c r="C262" i="9"/>
  <c r="B262" i="9"/>
  <c r="A262" i="9"/>
  <c r="P261" i="9"/>
  <c r="F261" i="9"/>
  <c r="E261" i="9"/>
  <c r="D261" i="9"/>
  <c r="C261" i="9"/>
  <c r="B261" i="9"/>
  <c r="A261" i="9"/>
  <c r="O260" i="9"/>
  <c r="F260" i="9"/>
  <c r="E260" i="9"/>
  <c r="D260" i="9"/>
  <c r="C260" i="9"/>
  <c r="B260" i="9"/>
  <c r="A260" i="9"/>
  <c r="Q259" i="9"/>
  <c r="O259" i="9"/>
  <c r="I259" i="9"/>
  <c r="F259" i="9"/>
  <c r="E259" i="9"/>
  <c r="D259" i="9"/>
  <c r="C259" i="9"/>
  <c r="B259" i="9"/>
  <c r="A259" i="9"/>
  <c r="O258" i="9"/>
  <c r="I258" i="9"/>
  <c r="F258" i="9"/>
  <c r="E258" i="9"/>
  <c r="D258" i="9"/>
  <c r="C258" i="9"/>
  <c r="B258" i="9"/>
  <c r="A258" i="9"/>
  <c r="O257" i="9"/>
  <c r="K257" i="9"/>
  <c r="F257" i="9"/>
  <c r="E257" i="9"/>
  <c r="D257" i="9"/>
  <c r="C257" i="9"/>
  <c r="B257" i="9"/>
  <c r="A257" i="9"/>
  <c r="P256" i="9"/>
  <c r="O256" i="9"/>
  <c r="F256" i="9"/>
  <c r="E256" i="9"/>
  <c r="D256" i="9"/>
  <c r="C256" i="9"/>
  <c r="B256" i="9"/>
  <c r="A256" i="9"/>
  <c r="P255" i="9"/>
  <c r="O255" i="9"/>
  <c r="F255" i="9"/>
  <c r="E255" i="9"/>
  <c r="D255" i="9"/>
  <c r="C255" i="9"/>
  <c r="B255" i="9"/>
  <c r="A255" i="9"/>
  <c r="P254" i="9"/>
  <c r="O254" i="9"/>
  <c r="F254" i="9"/>
  <c r="E254" i="9"/>
  <c r="D254" i="9"/>
  <c r="C254" i="9"/>
  <c r="B254" i="9"/>
  <c r="A254" i="9"/>
  <c r="P253" i="9"/>
  <c r="O253" i="9"/>
  <c r="K253" i="9"/>
  <c r="F253" i="9"/>
  <c r="E253" i="9"/>
  <c r="D253" i="9"/>
  <c r="C253" i="9"/>
  <c r="B253" i="9"/>
  <c r="A253" i="9"/>
  <c r="P252" i="9"/>
  <c r="O252" i="9"/>
  <c r="K252" i="9"/>
  <c r="F252" i="9"/>
  <c r="E252" i="9"/>
  <c r="D252" i="9"/>
  <c r="C252" i="9"/>
  <c r="B252" i="9"/>
  <c r="A252" i="9"/>
  <c r="O251" i="9"/>
  <c r="K251" i="9"/>
  <c r="F251" i="9"/>
  <c r="E251" i="9"/>
  <c r="D251" i="9"/>
  <c r="C251" i="9"/>
  <c r="B251" i="9"/>
  <c r="A251" i="9"/>
  <c r="O250" i="9"/>
  <c r="F250" i="9"/>
  <c r="E250" i="9"/>
  <c r="D250" i="9"/>
  <c r="C250" i="9"/>
  <c r="B250" i="9"/>
  <c r="A250" i="9"/>
  <c r="O249" i="9"/>
  <c r="F249" i="9"/>
  <c r="E249" i="9"/>
  <c r="D249" i="9"/>
  <c r="C249" i="9"/>
  <c r="B249" i="9"/>
  <c r="A249" i="9"/>
  <c r="O248" i="9"/>
  <c r="K248" i="9"/>
  <c r="F248" i="9"/>
  <c r="E248" i="9"/>
  <c r="D248" i="9"/>
  <c r="C248" i="9"/>
  <c r="B248" i="9"/>
  <c r="A248" i="9"/>
  <c r="O247" i="9"/>
  <c r="F247" i="9"/>
  <c r="E247" i="9"/>
  <c r="D247" i="9"/>
  <c r="C247" i="9"/>
  <c r="B247" i="9"/>
  <c r="A247" i="9"/>
  <c r="O246" i="9"/>
  <c r="M246" i="9"/>
  <c r="F246" i="9"/>
  <c r="E246" i="9"/>
  <c r="D246" i="9"/>
  <c r="C246" i="9"/>
  <c r="B246" i="9"/>
  <c r="A246" i="9"/>
  <c r="O245" i="9"/>
  <c r="F245" i="9"/>
  <c r="E245" i="9"/>
  <c r="D245" i="9"/>
  <c r="C245" i="9"/>
  <c r="B245" i="9"/>
  <c r="A245" i="9"/>
  <c r="O244" i="9"/>
  <c r="M244" i="9"/>
  <c r="F244" i="9"/>
  <c r="E244" i="9"/>
  <c r="D244" i="9"/>
  <c r="C244" i="9"/>
  <c r="B244" i="9"/>
  <c r="A244" i="9"/>
  <c r="O243" i="9"/>
  <c r="F243" i="9"/>
  <c r="E243" i="9"/>
  <c r="D243" i="9"/>
  <c r="C243" i="9"/>
  <c r="B243" i="9"/>
  <c r="A243" i="9"/>
  <c r="Q242" i="9"/>
  <c r="L242" i="9"/>
  <c r="G242" i="9"/>
  <c r="F242" i="9"/>
  <c r="E242" i="9"/>
  <c r="D242" i="9"/>
  <c r="C242" i="9"/>
  <c r="B242" i="9"/>
  <c r="A242" i="9"/>
  <c r="Q241" i="9"/>
  <c r="L241" i="9"/>
  <c r="G241" i="9"/>
  <c r="F241" i="9"/>
  <c r="E241" i="9"/>
  <c r="D241" i="9"/>
  <c r="C241" i="9"/>
  <c r="B241" i="9"/>
  <c r="A241" i="9"/>
  <c r="Q240" i="9"/>
  <c r="G240" i="9"/>
  <c r="F240" i="9"/>
  <c r="E240" i="9"/>
  <c r="D240" i="9"/>
  <c r="C240" i="9"/>
  <c r="B240" i="9"/>
  <c r="A240" i="9"/>
  <c r="Q239" i="9"/>
  <c r="L239" i="9"/>
  <c r="I239" i="9"/>
  <c r="G239" i="9"/>
  <c r="F239" i="9"/>
  <c r="E239" i="9"/>
  <c r="D239" i="9"/>
  <c r="C239" i="9"/>
  <c r="B239" i="9"/>
  <c r="A239" i="9"/>
  <c r="Q238" i="9"/>
  <c r="L238" i="9"/>
  <c r="G238" i="9"/>
  <c r="F238" i="9"/>
  <c r="E238" i="9"/>
  <c r="D238" i="9"/>
  <c r="C238" i="9"/>
  <c r="B238" i="9"/>
  <c r="A238" i="9"/>
  <c r="M237" i="9"/>
  <c r="L237" i="9"/>
  <c r="G237" i="9"/>
  <c r="F237" i="9"/>
  <c r="E237" i="9"/>
  <c r="D237" i="9"/>
  <c r="C237" i="9"/>
  <c r="B237" i="9"/>
  <c r="A237" i="9"/>
  <c r="Q236" i="9"/>
  <c r="N236" i="9"/>
  <c r="L236" i="9"/>
  <c r="G236" i="9"/>
  <c r="F236" i="9"/>
  <c r="E236" i="9"/>
  <c r="D236" i="9"/>
  <c r="C236" i="9"/>
  <c r="B236" i="9"/>
  <c r="A236" i="9"/>
  <c r="Q235" i="9"/>
  <c r="M235" i="9"/>
  <c r="K235" i="9"/>
  <c r="G235" i="9"/>
  <c r="F235" i="9"/>
  <c r="E235" i="9"/>
  <c r="D235" i="9"/>
  <c r="C235" i="9"/>
  <c r="B235" i="9"/>
  <c r="A235" i="9"/>
  <c r="Q234" i="9"/>
  <c r="M234" i="9"/>
  <c r="K234" i="9"/>
  <c r="G234" i="9"/>
  <c r="F234" i="9"/>
  <c r="E234" i="9"/>
  <c r="D234" i="9"/>
  <c r="C234" i="9"/>
  <c r="B234" i="9"/>
  <c r="A234" i="9"/>
  <c r="Q233" i="9"/>
  <c r="M233" i="9"/>
  <c r="K233" i="9"/>
  <c r="G233" i="9"/>
  <c r="F233" i="9"/>
  <c r="E233" i="9"/>
  <c r="D233" i="9"/>
  <c r="C233" i="9"/>
  <c r="B233" i="9"/>
  <c r="A233" i="9"/>
  <c r="Q232" i="9"/>
  <c r="G232" i="9"/>
  <c r="F232" i="9"/>
  <c r="E232" i="9"/>
  <c r="D232" i="9"/>
  <c r="C232" i="9"/>
  <c r="B232" i="9"/>
  <c r="A232" i="9"/>
  <c r="Q231" i="9"/>
  <c r="M231" i="9"/>
  <c r="G231" i="9"/>
  <c r="F231" i="9"/>
  <c r="E231" i="9"/>
  <c r="D231" i="9"/>
  <c r="C231" i="9"/>
  <c r="B231" i="9"/>
  <c r="A231" i="9"/>
  <c r="Q230" i="9"/>
  <c r="M230" i="9"/>
  <c r="K230" i="9"/>
  <c r="G230" i="9"/>
  <c r="F230" i="9"/>
  <c r="E230" i="9"/>
  <c r="D230" i="9"/>
  <c r="C230" i="9"/>
  <c r="B230" i="9"/>
  <c r="A230" i="9"/>
  <c r="Q229" i="9"/>
  <c r="M229" i="9"/>
  <c r="G229" i="9"/>
  <c r="F229" i="9"/>
  <c r="E229" i="9"/>
  <c r="D229" i="9"/>
  <c r="C229" i="9"/>
  <c r="B229" i="9"/>
  <c r="A229" i="9"/>
  <c r="Q228" i="9"/>
  <c r="M228" i="9"/>
  <c r="K228" i="9"/>
  <c r="G228" i="9"/>
  <c r="F228" i="9"/>
  <c r="E228" i="9"/>
  <c r="D228" i="9"/>
  <c r="C228" i="9"/>
  <c r="B228" i="9"/>
  <c r="A228" i="9"/>
  <c r="Q227" i="9"/>
  <c r="M227" i="9"/>
  <c r="K227" i="9"/>
  <c r="G227" i="9"/>
  <c r="F227" i="9"/>
  <c r="E227" i="9"/>
  <c r="D227" i="9"/>
  <c r="C227" i="9"/>
  <c r="B227" i="9"/>
  <c r="A227" i="9"/>
  <c r="Q226" i="9"/>
  <c r="M226" i="9"/>
  <c r="K226" i="9"/>
  <c r="G226" i="9"/>
  <c r="F226" i="9"/>
  <c r="E226" i="9"/>
  <c r="D226" i="9"/>
  <c r="C226" i="9"/>
  <c r="B226" i="9"/>
  <c r="A226" i="9"/>
  <c r="Q225" i="9"/>
  <c r="M225" i="9"/>
  <c r="K225" i="9"/>
  <c r="G225" i="9"/>
  <c r="F225" i="9"/>
  <c r="E225" i="9"/>
  <c r="D225" i="9"/>
  <c r="C225" i="9"/>
  <c r="B225" i="9"/>
  <c r="A225" i="9"/>
  <c r="Q224" i="9"/>
  <c r="G224" i="9"/>
  <c r="F224" i="9"/>
  <c r="E224" i="9"/>
  <c r="D224" i="9"/>
  <c r="C224" i="9"/>
  <c r="B224" i="9"/>
  <c r="A224" i="9"/>
  <c r="Q223" i="9"/>
  <c r="M223" i="9"/>
  <c r="G223" i="9"/>
  <c r="F223" i="9"/>
  <c r="E223" i="9"/>
  <c r="D223" i="9"/>
  <c r="C223" i="9"/>
  <c r="B223" i="9"/>
  <c r="A223" i="9"/>
  <c r="Q222" i="9"/>
  <c r="M222" i="9"/>
  <c r="G222" i="9"/>
  <c r="F222" i="9"/>
  <c r="E222" i="9"/>
  <c r="D222" i="9"/>
  <c r="C222" i="9"/>
  <c r="B222" i="9"/>
  <c r="A222" i="9"/>
  <c r="Q221" i="9"/>
  <c r="M221" i="9"/>
  <c r="G221" i="9"/>
  <c r="F221" i="9"/>
  <c r="E221" i="9"/>
  <c r="D221" i="9"/>
  <c r="C221" i="9"/>
  <c r="B221" i="9"/>
  <c r="A221" i="9"/>
  <c r="Q220" i="9"/>
  <c r="M220" i="9"/>
  <c r="G220" i="9"/>
  <c r="F220" i="9"/>
  <c r="E220" i="9"/>
  <c r="D220" i="9"/>
  <c r="C220" i="9"/>
  <c r="B220" i="9"/>
  <c r="A220" i="9"/>
  <c r="Q219" i="9"/>
  <c r="I219" i="9"/>
  <c r="G219" i="9"/>
  <c r="F219" i="9"/>
  <c r="E219" i="9"/>
  <c r="D219" i="9"/>
  <c r="C219" i="9"/>
  <c r="B219" i="9"/>
  <c r="A219" i="9"/>
  <c r="Q218" i="9"/>
  <c r="I218" i="9"/>
  <c r="G218" i="9"/>
  <c r="F218" i="9"/>
  <c r="E218" i="9"/>
  <c r="D218" i="9"/>
  <c r="C218" i="9"/>
  <c r="B218" i="9"/>
  <c r="A218" i="9"/>
  <c r="Q217" i="9"/>
  <c r="I217" i="9"/>
  <c r="G217" i="9"/>
  <c r="F217" i="9"/>
  <c r="E217" i="9"/>
  <c r="D217" i="9"/>
  <c r="C217" i="9"/>
  <c r="B217" i="9"/>
  <c r="A217" i="9"/>
  <c r="L216" i="9"/>
  <c r="I216" i="9"/>
  <c r="G216" i="9"/>
  <c r="F216" i="9"/>
  <c r="E216" i="9"/>
  <c r="D216" i="9"/>
  <c r="C216" i="9"/>
  <c r="B216" i="9"/>
  <c r="A216" i="9"/>
  <c r="I215" i="9"/>
  <c r="G215" i="9"/>
  <c r="F215" i="9"/>
  <c r="E215" i="9"/>
  <c r="D215" i="9"/>
  <c r="C215" i="9"/>
  <c r="B215" i="9"/>
  <c r="A215" i="9"/>
  <c r="I214" i="9"/>
  <c r="G214" i="9"/>
  <c r="F214" i="9"/>
  <c r="E214" i="9"/>
  <c r="D214" i="9"/>
  <c r="C214" i="9"/>
  <c r="B214" i="9"/>
  <c r="A214" i="9"/>
  <c r="I213" i="9"/>
  <c r="G213" i="9"/>
  <c r="F213" i="9"/>
  <c r="E213" i="9"/>
  <c r="D213" i="9"/>
  <c r="C213" i="9"/>
  <c r="B213" i="9"/>
  <c r="A213" i="9"/>
  <c r="I212" i="9"/>
  <c r="G212" i="9"/>
  <c r="F212" i="9"/>
  <c r="E212" i="9"/>
  <c r="D212" i="9"/>
  <c r="C212" i="9"/>
  <c r="B212" i="9"/>
  <c r="A212" i="9"/>
  <c r="Q211" i="9"/>
  <c r="I211" i="9"/>
  <c r="G211" i="9"/>
  <c r="F211" i="9"/>
  <c r="E211" i="9"/>
  <c r="D211" i="9"/>
  <c r="C211" i="9"/>
  <c r="B211" i="9"/>
  <c r="A211" i="9"/>
  <c r="Q210" i="9"/>
  <c r="I210" i="9"/>
  <c r="G210" i="9"/>
  <c r="F210" i="9"/>
  <c r="E210" i="9"/>
  <c r="D210" i="9"/>
  <c r="C210" i="9"/>
  <c r="B210" i="9"/>
  <c r="A210" i="9"/>
  <c r="I209" i="9"/>
  <c r="G209" i="9"/>
  <c r="F209" i="9"/>
  <c r="E209" i="9"/>
  <c r="D209" i="9"/>
  <c r="C209" i="9"/>
  <c r="B209" i="9"/>
  <c r="A209" i="9"/>
  <c r="Q208" i="9"/>
  <c r="I208" i="9"/>
  <c r="G208" i="9"/>
  <c r="F208" i="9"/>
  <c r="E208" i="9"/>
  <c r="D208" i="9"/>
  <c r="C208" i="9"/>
  <c r="B208" i="9"/>
  <c r="A208" i="9"/>
  <c r="I207" i="9"/>
  <c r="G207" i="9"/>
  <c r="F207" i="9"/>
  <c r="E207" i="9"/>
  <c r="D207" i="9"/>
  <c r="C207" i="9"/>
  <c r="B207" i="9"/>
  <c r="A207" i="9"/>
  <c r="I206" i="9"/>
  <c r="G206" i="9"/>
  <c r="F206" i="9"/>
  <c r="E206" i="9"/>
  <c r="D206" i="9"/>
  <c r="C206" i="9"/>
  <c r="B206" i="9"/>
  <c r="A206" i="9"/>
  <c r="I205" i="9"/>
  <c r="G205" i="9"/>
  <c r="F205" i="9"/>
  <c r="E205" i="9"/>
  <c r="D205" i="9"/>
  <c r="C205" i="9"/>
  <c r="B205" i="9"/>
  <c r="A205" i="9"/>
  <c r="Q204" i="9"/>
  <c r="I204" i="9"/>
  <c r="G204" i="9"/>
  <c r="F204" i="9"/>
  <c r="E204" i="9"/>
  <c r="D204" i="9"/>
  <c r="C204" i="9"/>
  <c r="B204" i="9"/>
  <c r="A204" i="9"/>
  <c r="I203" i="9"/>
  <c r="G203" i="9"/>
  <c r="F203" i="9"/>
  <c r="E203" i="9"/>
  <c r="D203" i="9"/>
  <c r="C203" i="9"/>
  <c r="B203" i="9"/>
  <c r="A203" i="9"/>
  <c r="Q202" i="9"/>
  <c r="I202" i="9"/>
  <c r="G202" i="9"/>
  <c r="F202" i="9"/>
  <c r="E202" i="9"/>
  <c r="D202" i="9"/>
  <c r="C202" i="9"/>
  <c r="B202" i="9"/>
  <c r="A202" i="9"/>
  <c r="I201" i="9"/>
  <c r="G201" i="9"/>
  <c r="F201" i="9"/>
  <c r="E201" i="9"/>
  <c r="D201" i="9"/>
  <c r="C201" i="9"/>
  <c r="B201" i="9"/>
  <c r="A201" i="9"/>
  <c r="L200" i="9"/>
  <c r="I200" i="9"/>
  <c r="G200" i="9"/>
  <c r="F200" i="9"/>
  <c r="E200" i="9"/>
  <c r="D200" i="9"/>
  <c r="C200" i="9"/>
  <c r="B200" i="9"/>
  <c r="A200" i="9"/>
  <c r="Q199" i="9"/>
  <c r="I199" i="9"/>
  <c r="G199" i="9"/>
  <c r="F199" i="9"/>
  <c r="E199" i="9"/>
  <c r="D199" i="9"/>
  <c r="C199" i="9"/>
  <c r="B199" i="9"/>
  <c r="A199" i="9"/>
  <c r="I198" i="9"/>
  <c r="G198" i="9"/>
  <c r="F198" i="9"/>
  <c r="E198" i="9"/>
  <c r="D198" i="9"/>
  <c r="C198" i="9"/>
  <c r="B198" i="9"/>
  <c r="A198" i="9"/>
  <c r="I197" i="9"/>
  <c r="G197" i="9"/>
  <c r="F197" i="9"/>
  <c r="E197" i="9"/>
  <c r="D197" i="9"/>
  <c r="C197" i="9"/>
  <c r="B197" i="9"/>
  <c r="A197" i="9"/>
  <c r="Q196" i="9"/>
  <c r="I196" i="9"/>
  <c r="G196" i="9"/>
  <c r="F196" i="9"/>
  <c r="E196" i="9"/>
  <c r="D196" i="9"/>
  <c r="C196" i="9"/>
  <c r="B196" i="9"/>
  <c r="A196" i="9"/>
  <c r="I195" i="9"/>
  <c r="G195" i="9"/>
  <c r="F195" i="9"/>
  <c r="E195" i="9"/>
  <c r="D195" i="9"/>
  <c r="C195" i="9"/>
  <c r="B195" i="9"/>
  <c r="A195" i="9"/>
  <c r="I194" i="9"/>
  <c r="G194" i="9"/>
  <c r="F194" i="9"/>
  <c r="E194" i="9"/>
  <c r="D194" i="9"/>
  <c r="C194" i="9"/>
  <c r="B194" i="9"/>
  <c r="A194" i="9"/>
  <c r="M193" i="9"/>
  <c r="G193" i="9"/>
  <c r="F193" i="9"/>
  <c r="E193" i="9"/>
  <c r="D193" i="9"/>
  <c r="C193" i="9"/>
  <c r="B193" i="9"/>
  <c r="A193" i="9"/>
  <c r="M192" i="9"/>
  <c r="G192" i="9"/>
  <c r="F192" i="9"/>
  <c r="E192" i="9"/>
  <c r="D192" i="9"/>
  <c r="C192" i="9"/>
  <c r="B192" i="9"/>
  <c r="A192" i="9"/>
  <c r="M191" i="9"/>
  <c r="G191" i="9"/>
  <c r="F191" i="9"/>
  <c r="E191" i="9"/>
  <c r="D191" i="9"/>
  <c r="C191" i="9"/>
  <c r="B191" i="9"/>
  <c r="A191" i="9"/>
  <c r="M190" i="9"/>
  <c r="G190" i="9"/>
  <c r="F190" i="9"/>
  <c r="E190" i="9"/>
  <c r="D190" i="9"/>
  <c r="C190" i="9"/>
  <c r="B190" i="9"/>
  <c r="A190" i="9"/>
  <c r="M189" i="9"/>
  <c r="G189" i="9"/>
  <c r="F189" i="9"/>
  <c r="E189" i="9"/>
  <c r="D189" i="9"/>
  <c r="C189" i="9"/>
  <c r="B189" i="9"/>
  <c r="A189" i="9"/>
  <c r="M188" i="9"/>
  <c r="G188" i="9"/>
  <c r="F188" i="9"/>
  <c r="E188" i="9"/>
  <c r="D188" i="9"/>
  <c r="C188" i="9"/>
  <c r="B188" i="9"/>
  <c r="A188" i="9"/>
  <c r="M187" i="9"/>
  <c r="G187" i="9"/>
  <c r="F187" i="9"/>
  <c r="E187" i="9"/>
  <c r="D187" i="9"/>
  <c r="C187" i="9"/>
  <c r="B187" i="9"/>
  <c r="A187" i="9"/>
  <c r="M186" i="9"/>
  <c r="G186" i="9"/>
  <c r="F186" i="9"/>
  <c r="E186" i="9"/>
  <c r="D186" i="9"/>
  <c r="C186" i="9"/>
  <c r="B186" i="9"/>
  <c r="A186" i="9"/>
  <c r="M185" i="9"/>
  <c r="G185" i="9"/>
  <c r="F185" i="9"/>
  <c r="E185" i="9"/>
  <c r="D185" i="9"/>
  <c r="C185" i="9"/>
  <c r="B185" i="9"/>
  <c r="A185" i="9"/>
  <c r="M184" i="9"/>
  <c r="G184" i="9"/>
  <c r="F184" i="9"/>
  <c r="E184" i="9"/>
  <c r="D184" i="9"/>
  <c r="C184" i="9"/>
  <c r="B184" i="9"/>
  <c r="A184" i="9"/>
  <c r="M183" i="9"/>
  <c r="G183" i="9"/>
  <c r="F183" i="9"/>
  <c r="E183" i="9"/>
  <c r="D183" i="9"/>
  <c r="C183" i="9"/>
  <c r="B183" i="9"/>
  <c r="A183" i="9"/>
  <c r="M182" i="9"/>
  <c r="G182" i="9"/>
  <c r="F182" i="9"/>
  <c r="E182" i="9"/>
  <c r="D182" i="9"/>
  <c r="C182" i="9"/>
  <c r="B182" i="9"/>
  <c r="A182" i="9"/>
  <c r="M181" i="9"/>
  <c r="G181" i="9"/>
  <c r="F181" i="9"/>
  <c r="E181" i="9"/>
  <c r="D181" i="9"/>
  <c r="C181" i="9"/>
  <c r="B181" i="9"/>
  <c r="A181" i="9"/>
  <c r="M180" i="9"/>
  <c r="G180" i="9"/>
  <c r="F180" i="9"/>
  <c r="E180" i="9"/>
  <c r="D180" i="9"/>
  <c r="C180" i="9"/>
  <c r="B180" i="9"/>
  <c r="A180" i="9"/>
  <c r="M179" i="9"/>
  <c r="G179" i="9"/>
  <c r="F179" i="9"/>
  <c r="E179" i="9"/>
  <c r="D179" i="9"/>
  <c r="C179" i="9"/>
  <c r="B179" i="9"/>
  <c r="A179" i="9"/>
  <c r="M178" i="9"/>
  <c r="G178" i="9"/>
  <c r="F178" i="9"/>
  <c r="E178" i="9"/>
  <c r="D178" i="9"/>
  <c r="C178" i="9"/>
  <c r="B178" i="9"/>
  <c r="A178" i="9"/>
  <c r="M177" i="9"/>
  <c r="G177" i="9"/>
  <c r="F177" i="9"/>
  <c r="E177" i="9"/>
  <c r="D177" i="9"/>
  <c r="C177" i="9"/>
  <c r="B177" i="9"/>
  <c r="A177" i="9"/>
  <c r="M176" i="9"/>
  <c r="G176" i="9"/>
  <c r="F176" i="9"/>
  <c r="E176" i="9"/>
  <c r="D176" i="9"/>
  <c r="C176" i="9"/>
  <c r="B176" i="9"/>
  <c r="A176" i="9"/>
  <c r="M175" i="9"/>
  <c r="G175" i="9"/>
  <c r="F175" i="9"/>
  <c r="E175" i="9"/>
  <c r="D175" i="9"/>
  <c r="C175" i="9"/>
  <c r="B175" i="9"/>
  <c r="A175" i="9"/>
  <c r="M174" i="9"/>
  <c r="G174" i="9"/>
  <c r="F174" i="9"/>
  <c r="E174" i="9"/>
  <c r="D174" i="9"/>
  <c r="C174" i="9"/>
  <c r="B174" i="9"/>
  <c r="A174" i="9"/>
  <c r="M173" i="9"/>
  <c r="G173" i="9"/>
  <c r="F173" i="9"/>
  <c r="E173" i="9"/>
  <c r="D173" i="9"/>
  <c r="C173" i="9"/>
  <c r="B173" i="9"/>
  <c r="A173" i="9"/>
  <c r="M172" i="9"/>
  <c r="G172" i="9"/>
  <c r="F172" i="9"/>
  <c r="E172" i="9"/>
  <c r="D172" i="9"/>
  <c r="C172" i="9"/>
  <c r="B172" i="9"/>
  <c r="A172" i="9"/>
  <c r="M171" i="9"/>
  <c r="G171" i="9"/>
  <c r="F171" i="9"/>
  <c r="E171" i="9"/>
  <c r="D171" i="9"/>
  <c r="C171" i="9"/>
  <c r="B171" i="9"/>
  <c r="A171" i="9"/>
  <c r="M170" i="9"/>
  <c r="G170" i="9"/>
  <c r="F170" i="9"/>
  <c r="E170" i="9"/>
  <c r="D170" i="9"/>
  <c r="C170" i="9"/>
  <c r="B170" i="9"/>
  <c r="A170" i="9"/>
  <c r="M169" i="9"/>
  <c r="G169" i="9"/>
  <c r="F169" i="9"/>
  <c r="E169" i="9"/>
  <c r="D169" i="9"/>
  <c r="C169" i="9"/>
  <c r="B169" i="9"/>
  <c r="A169" i="9"/>
  <c r="M168" i="9"/>
  <c r="G168" i="9"/>
  <c r="F168" i="9"/>
  <c r="E168" i="9"/>
  <c r="D168" i="9"/>
  <c r="C168" i="9"/>
  <c r="B168" i="9"/>
  <c r="A168" i="9"/>
  <c r="M167" i="9"/>
  <c r="G167" i="9"/>
  <c r="F167" i="9"/>
  <c r="E167" i="9"/>
  <c r="D167" i="9"/>
  <c r="C167" i="9"/>
  <c r="B167" i="9"/>
  <c r="A167" i="9"/>
  <c r="M166" i="9"/>
  <c r="G166" i="9"/>
  <c r="F166" i="9"/>
  <c r="E166" i="9"/>
  <c r="D166" i="9"/>
  <c r="C166" i="9"/>
  <c r="B166" i="9"/>
  <c r="A166" i="9"/>
  <c r="M165" i="9"/>
  <c r="G165" i="9"/>
  <c r="F165" i="9"/>
  <c r="E165" i="9"/>
  <c r="D165" i="9"/>
  <c r="C165" i="9"/>
  <c r="B165" i="9"/>
  <c r="A165" i="9"/>
  <c r="M164" i="9"/>
  <c r="G164" i="9"/>
  <c r="F164" i="9"/>
  <c r="E164" i="9"/>
  <c r="D164" i="9"/>
  <c r="C164" i="9"/>
  <c r="B164" i="9"/>
  <c r="A164" i="9"/>
  <c r="M163" i="9"/>
  <c r="G163" i="9"/>
  <c r="F163" i="9"/>
  <c r="E163" i="9"/>
  <c r="D163" i="9"/>
  <c r="C163" i="9"/>
  <c r="B163" i="9"/>
  <c r="A163" i="9"/>
  <c r="M162" i="9"/>
  <c r="G162" i="9"/>
  <c r="F162" i="9"/>
  <c r="E162" i="9"/>
  <c r="D162" i="9"/>
  <c r="C162" i="9"/>
  <c r="B162" i="9"/>
  <c r="A162" i="9"/>
  <c r="M161" i="9"/>
  <c r="G161" i="9"/>
  <c r="F161" i="9"/>
  <c r="E161" i="9"/>
  <c r="D161" i="9"/>
  <c r="C161" i="9"/>
  <c r="B161" i="9"/>
  <c r="A161" i="9"/>
  <c r="M160" i="9"/>
  <c r="G160" i="9"/>
  <c r="F160" i="9"/>
  <c r="E160" i="9"/>
  <c r="D160" i="9"/>
  <c r="C160" i="9"/>
  <c r="B160" i="9"/>
  <c r="A160" i="9"/>
  <c r="M159" i="9"/>
  <c r="G159" i="9"/>
  <c r="F159" i="9"/>
  <c r="E159" i="9"/>
  <c r="D159" i="9"/>
  <c r="C159" i="9"/>
  <c r="B159" i="9"/>
  <c r="A159" i="9"/>
  <c r="M158" i="9"/>
  <c r="G158" i="9"/>
  <c r="F158" i="9"/>
  <c r="E158" i="9"/>
  <c r="D158" i="9"/>
  <c r="C158" i="9"/>
  <c r="B158" i="9"/>
  <c r="A158" i="9"/>
  <c r="M157" i="9"/>
  <c r="G157" i="9"/>
  <c r="F157" i="9"/>
  <c r="E157" i="9"/>
  <c r="D157" i="9"/>
  <c r="C157" i="9"/>
  <c r="B157" i="9"/>
  <c r="A157" i="9"/>
  <c r="M156" i="9"/>
  <c r="G156" i="9"/>
  <c r="F156" i="9"/>
  <c r="E156" i="9"/>
  <c r="D156" i="9"/>
  <c r="C156" i="9"/>
  <c r="B156" i="9"/>
  <c r="A156" i="9"/>
  <c r="M155" i="9"/>
  <c r="G155" i="9"/>
  <c r="F155" i="9"/>
  <c r="E155" i="9"/>
  <c r="D155" i="9"/>
  <c r="C155" i="9"/>
  <c r="B155" i="9"/>
  <c r="A155" i="9"/>
  <c r="M154" i="9"/>
  <c r="G154" i="9"/>
  <c r="F154" i="9"/>
  <c r="E154" i="9"/>
  <c r="D154" i="9"/>
  <c r="C154" i="9"/>
  <c r="B154" i="9"/>
  <c r="A154" i="9"/>
  <c r="M153" i="9"/>
  <c r="G153" i="9"/>
  <c r="F153" i="9"/>
  <c r="E153" i="9"/>
  <c r="D153" i="9"/>
  <c r="C153" i="9"/>
  <c r="B153" i="9"/>
  <c r="A153" i="9"/>
  <c r="M152" i="9"/>
  <c r="G152" i="9"/>
  <c r="F152" i="9"/>
  <c r="E152" i="9"/>
  <c r="D152" i="9"/>
  <c r="C152" i="9"/>
  <c r="B152" i="9"/>
  <c r="A152" i="9"/>
  <c r="M151" i="9"/>
  <c r="G151" i="9"/>
  <c r="F151" i="9"/>
  <c r="E151" i="9"/>
  <c r="D151" i="9"/>
  <c r="C151" i="9"/>
  <c r="B151" i="9"/>
  <c r="A151" i="9"/>
  <c r="M150" i="9"/>
  <c r="G150" i="9"/>
  <c r="F150" i="9"/>
  <c r="E150" i="9"/>
  <c r="D150" i="9"/>
  <c r="C150" i="9"/>
  <c r="B150" i="9"/>
  <c r="A150" i="9"/>
  <c r="M149" i="9"/>
  <c r="G149" i="9"/>
  <c r="F149" i="9"/>
  <c r="E149" i="9"/>
  <c r="D149" i="9"/>
  <c r="C149" i="9"/>
  <c r="B149" i="9"/>
  <c r="A149" i="9"/>
  <c r="M148" i="9"/>
  <c r="G148" i="9"/>
  <c r="F148" i="9"/>
  <c r="E148" i="9"/>
  <c r="D148" i="9"/>
  <c r="C148" i="9"/>
  <c r="B148" i="9"/>
  <c r="A148" i="9"/>
  <c r="M147" i="9"/>
  <c r="G147" i="9"/>
  <c r="F147" i="9"/>
  <c r="E147" i="9"/>
  <c r="D147" i="9"/>
  <c r="C147" i="9"/>
  <c r="B147" i="9"/>
  <c r="A147" i="9"/>
  <c r="M146" i="9"/>
  <c r="G146" i="9"/>
  <c r="F146" i="9"/>
  <c r="E146" i="9"/>
  <c r="D146" i="9"/>
  <c r="C146" i="9"/>
  <c r="B146" i="9"/>
  <c r="A146" i="9"/>
  <c r="M145" i="9"/>
  <c r="G145" i="9"/>
  <c r="F145" i="9"/>
  <c r="E145" i="9"/>
  <c r="D145" i="9"/>
  <c r="C145" i="9"/>
  <c r="B145" i="9"/>
  <c r="A145" i="9"/>
  <c r="M144" i="9"/>
  <c r="G144" i="9"/>
  <c r="F144" i="9"/>
  <c r="E144" i="9"/>
  <c r="D144" i="9"/>
  <c r="C144" i="9"/>
  <c r="B144" i="9"/>
  <c r="A144" i="9"/>
  <c r="Q143" i="9"/>
  <c r="G143" i="9"/>
  <c r="F143" i="9"/>
  <c r="E143" i="9"/>
  <c r="D143" i="9"/>
  <c r="C143" i="9"/>
  <c r="B143" i="9"/>
  <c r="A143" i="9"/>
  <c r="Q142" i="9"/>
  <c r="G142" i="9"/>
  <c r="F142" i="9"/>
  <c r="E142" i="9"/>
  <c r="D142" i="9"/>
  <c r="C142" i="9"/>
  <c r="B142" i="9"/>
  <c r="A142" i="9"/>
  <c r="Q141" i="9"/>
  <c r="M141" i="9"/>
  <c r="G141" i="9"/>
  <c r="F141" i="9"/>
  <c r="E141" i="9"/>
  <c r="D141" i="9"/>
  <c r="C141" i="9"/>
  <c r="B141" i="9"/>
  <c r="A141" i="9"/>
  <c r="Q140" i="9"/>
  <c r="G140" i="9"/>
  <c r="F140" i="9"/>
  <c r="E140" i="9"/>
  <c r="D140" i="9"/>
  <c r="C140" i="9"/>
  <c r="B140" i="9"/>
  <c r="A140" i="9"/>
  <c r="Q139" i="9"/>
  <c r="K139" i="9"/>
  <c r="G139" i="9"/>
  <c r="F139" i="9"/>
  <c r="E139" i="9"/>
  <c r="D139" i="9"/>
  <c r="C139" i="9"/>
  <c r="B139" i="9"/>
  <c r="A139" i="9"/>
  <c r="Q138" i="9"/>
  <c r="G138" i="9"/>
  <c r="F138" i="9"/>
  <c r="E138" i="9"/>
  <c r="D138" i="9"/>
  <c r="C138" i="9"/>
  <c r="B138" i="9"/>
  <c r="A138" i="9"/>
  <c r="Q137" i="9"/>
  <c r="M137" i="9"/>
  <c r="I137" i="9"/>
  <c r="G137" i="9"/>
  <c r="F137" i="9"/>
  <c r="E137" i="9"/>
  <c r="D137" i="9"/>
  <c r="C137" i="9"/>
  <c r="B137" i="9"/>
  <c r="A137" i="9"/>
  <c r="Q136" i="9"/>
  <c r="G136" i="9"/>
  <c r="F136" i="9"/>
  <c r="E136" i="9"/>
  <c r="D136" i="9"/>
  <c r="C136" i="9"/>
  <c r="B136" i="9"/>
  <c r="A136" i="9"/>
  <c r="Q135" i="9"/>
  <c r="G135" i="9"/>
  <c r="F135" i="9"/>
  <c r="E135" i="9"/>
  <c r="D135" i="9"/>
  <c r="C135" i="9"/>
  <c r="B135" i="9"/>
  <c r="A135" i="9"/>
  <c r="Q134" i="9"/>
  <c r="G134" i="9"/>
  <c r="F134" i="9"/>
  <c r="E134" i="9"/>
  <c r="D134" i="9"/>
  <c r="C134" i="9"/>
  <c r="B134" i="9"/>
  <c r="A134" i="9"/>
  <c r="Q133" i="9"/>
  <c r="M133" i="9"/>
  <c r="G133" i="9"/>
  <c r="F133" i="9"/>
  <c r="E133" i="9"/>
  <c r="D133" i="9"/>
  <c r="C133" i="9"/>
  <c r="B133" i="9"/>
  <c r="A133" i="9"/>
  <c r="Q132" i="9"/>
  <c r="M132" i="9"/>
  <c r="G132" i="9"/>
  <c r="F132" i="9"/>
  <c r="E132" i="9"/>
  <c r="D132" i="9"/>
  <c r="C132" i="9"/>
  <c r="B132" i="9"/>
  <c r="A132" i="9"/>
  <c r="Q131" i="9"/>
  <c r="M131" i="9"/>
  <c r="G131" i="9"/>
  <c r="F131" i="9"/>
  <c r="E131" i="9"/>
  <c r="D131" i="9"/>
  <c r="C131" i="9"/>
  <c r="B131" i="9"/>
  <c r="A131" i="9"/>
  <c r="Q130" i="9"/>
  <c r="G130" i="9"/>
  <c r="F130" i="9"/>
  <c r="E130" i="9"/>
  <c r="D130" i="9"/>
  <c r="C130" i="9"/>
  <c r="B130" i="9"/>
  <c r="A130" i="9"/>
  <c r="Q129" i="9"/>
  <c r="G129" i="9"/>
  <c r="F129" i="9"/>
  <c r="E129" i="9"/>
  <c r="D129" i="9"/>
  <c r="C129" i="9"/>
  <c r="B129" i="9"/>
  <c r="A129" i="9"/>
  <c r="Q128" i="9"/>
  <c r="G128" i="9"/>
  <c r="F128" i="9"/>
  <c r="E128" i="9"/>
  <c r="D128" i="9"/>
  <c r="C128" i="9"/>
  <c r="B128" i="9"/>
  <c r="A128" i="9"/>
  <c r="Q127" i="9"/>
  <c r="M127" i="9"/>
  <c r="G127" i="9"/>
  <c r="F127" i="9"/>
  <c r="E127" i="9"/>
  <c r="D127" i="9"/>
  <c r="C127" i="9"/>
  <c r="B127" i="9"/>
  <c r="A127" i="9"/>
  <c r="Q126" i="9"/>
  <c r="G126" i="9"/>
  <c r="F126" i="9"/>
  <c r="E126" i="9"/>
  <c r="D126" i="9"/>
  <c r="C126" i="9"/>
  <c r="B126" i="9"/>
  <c r="A126" i="9"/>
  <c r="Q125" i="9"/>
  <c r="G125" i="9"/>
  <c r="F125" i="9"/>
  <c r="E125" i="9"/>
  <c r="D125" i="9"/>
  <c r="C125" i="9"/>
  <c r="B125" i="9"/>
  <c r="A125" i="9"/>
  <c r="Q124" i="9"/>
  <c r="G124" i="9"/>
  <c r="F124" i="9"/>
  <c r="E124" i="9"/>
  <c r="D124" i="9"/>
  <c r="C124" i="9"/>
  <c r="B124" i="9"/>
  <c r="A124" i="9"/>
  <c r="Q123" i="9"/>
  <c r="G123" i="9"/>
  <c r="F123" i="9"/>
  <c r="E123" i="9"/>
  <c r="D123" i="9"/>
  <c r="C123" i="9"/>
  <c r="B123" i="9"/>
  <c r="A123" i="9"/>
  <c r="Q122" i="9"/>
  <c r="N122" i="9"/>
  <c r="G122" i="9"/>
  <c r="F122" i="9"/>
  <c r="E122" i="9"/>
  <c r="D122" i="9"/>
  <c r="C122" i="9"/>
  <c r="B122" i="9"/>
  <c r="A122" i="9"/>
  <c r="Q121" i="9"/>
  <c r="N121" i="9"/>
  <c r="G121" i="9"/>
  <c r="F121" i="9"/>
  <c r="E121" i="9"/>
  <c r="D121" i="9"/>
  <c r="C121" i="9"/>
  <c r="B121" i="9"/>
  <c r="A121" i="9"/>
  <c r="Q120" i="9"/>
  <c r="K120" i="9"/>
  <c r="G120" i="9"/>
  <c r="F120" i="9"/>
  <c r="E120" i="9"/>
  <c r="D120" i="9"/>
  <c r="C120" i="9"/>
  <c r="B120" i="9"/>
  <c r="A120" i="9"/>
  <c r="I119" i="9"/>
  <c r="G119" i="9"/>
  <c r="F119" i="9"/>
  <c r="E119" i="9"/>
  <c r="D119" i="9"/>
  <c r="C119" i="9"/>
  <c r="B119" i="9"/>
  <c r="A119" i="9"/>
  <c r="Q118" i="9"/>
  <c r="I118" i="9"/>
  <c r="G118" i="9"/>
  <c r="F118" i="9"/>
  <c r="E118" i="9"/>
  <c r="D118" i="9"/>
  <c r="C118" i="9"/>
  <c r="B118" i="9"/>
  <c r="A118" i="9"/>
  <c r="I117" i="9"/>
  <c r="G117" i="9"/>
  <c r="F117" i="9"/>
  <c r="E117" i="9"/>
  <c r="D117" i="9"/>
  <c r="C117" i="9"/>
  <c r="B117" i="9"/>
  <c r="A117" i="9"/>
  <c r="Q116" i="9"/>
  <c r="I116" i="9"/>
  <c r="G116" i="9"/>
  <c r="F116" i="9"/>
  <c r="E116" i="9"/>
  <c r="D116" i="9"/>
  <c r="C116" i="9"/>
  <c r="B116" i="9"/>
  <c r="A116" i="9"/>
  <c r="I115" i="9"/>
  <c r="G115" i="9"/>
  <c r="F115" i="9"/>
  <c r="E115" i="9"/>
  <c r="D115" i="9"/>
  <c r="C115" i="9"/>
  <c r="B115" i="9"/>
  <c r="A115" i="9"/>
  <c r="I114" i="9"/>
  <c r="G114" i="9"/>
  <c r="F114" i="9"/>
  <c r="E114" i="9"/>
  <c r="D114" i="9"/>
  <c r="C114" i="9"/>
  <c r="B114" i="9"/>
  <c r="A114" i="9"/>
  <c r="I113" i="9"/>
  <c r="G113" i="9"/>
  <c r="F113" i="9"/>
  <c r="E113" i="9"/>
  <c r="D113" i="9"/>
  <c r="C113" i="9"/>
  <c r="B113" i="9"/>
  <c r="A113" i="9"/>
  <c r="I112" i="9"/>
  <c r="G112" i="9"/>
  <c r="F112" i="9"/>
  <c r="E112" i="9"/>
  <c r="D112" i="9"/>
  <c r="C112" i="9"/>
  <c r="B112" i="9"/>
  <c r="A112" i="9"/>
  <c r="Q111" i="9"/>
  <c r="L111" i="9"/>
  <c r="I111" i="9"/>
  <c r="G111" i="9"/>
  <c r="F111" i="9"/>
  <c r="E111" i="9"/>
  <c r="D111" i="9"/>
  <c r="C111" i="9"/>
  <c r="B111" i="9"/>
  <c r="A111" i="9"/>
  <c r="Q110" i="9"/>
  <c r="G110" i="9"/>
  <c r="F110" i="9"/>
  <c r="E110" i="9"/>
  <c r="D110" i="9"/>
  <c r="C110" i="9"/>
  <c r="B110" i="9"/>
  <c r="A110" i="9"/>
  <c r="Q109" i="9"/>
  <c r="G109" i="9"/>
  <c r="F109" i="9"/>
  <c r="E109" i="9"/>
  <c r="D109" i="9"/>
  <c r="C109" i="9"/>
  <c r="B109" i="9"/>
  <c r="A109" i="9"/>
  <c r="Q108" i="9"/>
  <c r="G108" i="9"/>
  <c r="F108" i="9"/>
  <c r="E108" i="9"/>
  <c r="D108" i="9"/>
  <c r="C108" i="9"/>
  <c r="B108" i="9"/>
  <c r="A108" i="9"/>
  <c r="Q107" i="9"/>
  <c r="G107" i="9"/>
  <c r="F107" i="9"/>
  <c r="E107" i="9"/>
  <c r="D107" i="9"/>
  <c r="C107" i="9"/>
  <c r="B107" i="9"/>
  <c r="A107" i="9"/>
  <c r="Q106" i="9"/>
  <c r="G106" i="9"/>
  <c r="F106" i="9"/>
  <c r="E106" i="9"/>
  <c r="D106" i="9"/>
  <c r="C106" i="9"/>
  <c r="B106" i="9"/>
  <c r="A106" i="9"/>
  <c r="Q105" i="9"/>
  <c r="I105" i="9"/>
  <c r="G105" i="9"/>
  <c r="F105" i="9"/>
  <c r="E105" i="9"/>
  <c r="D105" i="9"/>
  <c r="C105" i="9"/>
  <c r="B105" i="9"/>
  <c r="A105" i="9"/>
  <c r="Q104" i="9"/>
  <c r="L104" i="9"/>
  <c r="I104" i="9"/>
  <c r="G104" i="9"/>
  <c r="F104" i="9"/>
  <c r="E104" i="9"/>
  <c r="D104" i="9"/>
  <c r="C104" i="9"/>
  <c r="B104" i="9"/>
  <c r="A104" i="9"/>
  <c r="I103" i="9"/>
  <c r="G103" i="9"/>
  <c r="F103" i="9"/>
  <c r="E103" i="9"/>
  <c r="D103" i="9"/>
  <c r="C103" i="9"/>
  <c r="B103" i="9"/>
  <c r="A103" i="9"/>
  <c r="Q102" i="9"/>
  <c r="G102" i="9"/>
  <c r="F102" i="9"/>
  <c r="E102" i="9"/>
  <c r="D102" i="9"/>
  <c r="C102" i="9"/>
  <c r="B102" i="9"/>
  <c r="A102" i="9"/>
  <c r="Q101" i="9"/>
  <c r="G101" i="9"/>
  <c r="F101" i="9"/>
  <c r="E101" i="9"/>
  <c r="D101" i="9"/>
  <c r="C101" i="9"/>
  <c r="B101" i="9"/>
  <c r="A101" i="9"/>
  <c r="Q100" i="9"/>
  <c r="G100" i="9"/>
  <c r="F100" i="9"/>
  <c r="E100" i="9"/>
  <c r="D100" i="9"/>
  <c r="C100" i="9"/>
  <c r="B100" i="9"/>
  <c r="A100" i="9"/>
  <c r="Q99" i="9"/>
  <c r="G99" i="9"/>
  <c r="F99" i="9"/>
  <c r="E99" i="9"/>
  <c r="D99" i="9"/>
  <c r="C99" i="9"/>
  <c r="B99" i="9"/>
  <c r="A99" i="9"/>
  <c r="Q98" i="9"/>
  <c r="I98" i="9"/>
  <c r="G98" i="9"/>
  <c r="F98" i="9"/>
  <c r="E98" i="9"/>
  <c r="D98" i="9"/>
  <c r="C98" i="9"/>
  <c r="B98" i="9"/>
  <c r="A98" i="9"/>
  <c r="Q97" i="9"/>
  <c r="G97" i="9"/>
  <c r="F97" i="9"/>
  <c r="E97" i="9"/>
  <c r="D97" i="9"/>
  <c r="C97" i="9"/>
  <c r="B97" i="9"/>
  <c r="A97" i="9"/>
  <c r="Q96" i="9"/>
  <c r="G96" i="9"/>
  <c r="F96" i="9"/>
  <c r="E96" i="9"/>
  <c r="D96" i="9"/>
  <c r="C96" i="9"/>
  <c r="B96" i="9"/>
  <c r="A96" i="9"/>
  <c r="Q95" i="9"/>
  <c r="G95" i="9"/>
  <c r="F95" i="9"/>
  <c r="E95" i="9"/>
  <c r="D95" i="9"/>
  <c r="C95" i="9"/>
  <c r="B95" i="9"/>
  <c r="A95" i="9"/>
  <c r="Q94" i="9"/>
  <c r="G94" i="9"/>
  <c r="F94" i="9"/>
  <c r="E94" i="9"/>
  <c r="D94" i="9"/>
  <c r="C94" i="9"/>
  <c r="B94" i="9"/>
  <c r="A94" i="9"/>
  <c r="Q93" i="9"/>
  <c r="G93" i="9"/>
  <c r="F93" i="9"/>
  <c r="E93" i="9"/>
  <c r="D93" i="9"/>
  <c r="C93" i="9"/>
  <c r="B93" i="9"/>
  <c r="A93" i="9"/>
  <c r="Q92" i="9"/>
  <c r="G92" i="9"/>
  <c r="F92" i="9"/>
  <c r="E92" i="9"/>
  <c r="D92" i="9"/>
  <c r="C92" i="9"/>
  <c r="B92" i="9"/>
  <c r="A92" i="9"/>
  <c r="Q91" i="9"/>
  <c r="G91" i="9"/>
  <c r="F91" i="9"/>
  <c r="E91" i="9"/>
  <c r="D91" i="9"/>
  <c r="C91" i="9"/>
  <c r="B91" i="9"/>
  <c r="A91" i="9"/>
  <c r="Q90" i="9"/>
  <c r="I90" i="9"/>
  <c r="G90" i="9"/>
  <c r="F90" i="9"/>
  <c r="E90" i="9"/>
  <c r="D90" i="9"/>
  <c r="C90" i="9"/>
  <c r="B90" i="9"/>
  <c r="A90" i="9"/>
  <c r="Q89" i="9"/>
  <c r="L89" i="9"/>
  <c r="I89" i="9"/>
  <c r="G89" i="9"/>
  <c r="F89" i="9"/>
  <c r="E89" i="9"/>
  <c r="D89" i="9"/>
  <c r="C89" i="9"/>
  <c r="B89" i="9"/>
  <c r="A89" i="9"/>
  <c r="Q88" i="9"/>
  <c r="I88" i="9"/>
  <c r="G88" i="9"/>
  <c r="F88" i="9"/>
  <c r="E88" i="9"/>
  <c r="D88" i="9"/>
  <c r="C88" i="9"/>
  <c r="B88" i="9"/>
  <c r="A88" i="9"/>
  <c r="Q87" i="9"/>
  <c r="G87" i="9"/>
  <c r="F87" i="9"/>
  <c r="E87" i="9"/>
  <c r="D87" i="9"/>
  <c r="C87" i="9"/>
  <c r="B87" i="9"/>
  <c r="A87" i="9"/>
  <c r="Q86" i="9"/>
  <c r="I86" i="9"/>
  <c r="G86" i="9"/>
  <c r="F86" i="9"/>
  <c r="E86" i="9"/>
  <c r="D86" i="9"/>
  <c r="C86" i="9"/>
  <c r="B86" i="9"/>
  <c r="A86" i="9"/>
  <c r="Q85" i="9"/>
  <c r="I85" i="9"/>
  <c r="G85" i="9"/>
  <c r="F85" i="9"/>
  <c r="E85" i="9"/>
  <c r="D85" i="9"/>
  <c r="C85" i="9"/>
  <c r="B85" i="9"/>
  <c r="A85" i="9"/>
  <c r="Q84" i="9"/>
  <c r="G84" i="9"/>
  <c r="F84" i="9"/>
  <c r="E84" i="9"/>
  <c r="D84" i="9"/>
  <c r="C84" i="9"/>
  <c r="B84" i="9"/>
  <c r="A84" i="9"/>
  <c r="Q83" i="9"/>
  <c r="G83" i="9"/>
  <c r="F83" i="9"/>
  <c r="E83" i="9"/>
  <c r="D83" i="9"/>
  <c r="C83" i="9"/>
  <c r="B83" i="9"/>
  <c r="A83" i="9"/>
  <c r="Q82" i="9"/>
  <c r="L82" i="9"/>
  <c r="I82" i="9"/>
  <c r="G82" i="9"/>
  <c r="F82" i="9"/>
  <c r="E82" i="9"/>
  <c r="D82" i="9"/>
  <c r="C82" i="9"/>
  <c r="B82" i="9"/>
  <c r="A82" i="9"/>
  <c r="Q81" i="9"/>
  <c r="I81" i="9"/>
  <c r="G81" i="9"/>
  <c r="F81" i="9"/>
  <c r="E81" i="9"/>
  <c r="D81" i="9"/>
  <c r="C81" i="9"/>
  <c r="B81" i="9"/>
  <c r="A81" i="9"/>
  <c r="Q80" i="9"/>
  <c r="I80" i="9"/>
  <c r="G80" i="9"/>
  <c r="F80" i="9"/>
  <c r="E80" i="9"/>
  <c r="D80" i="9"/>
  <c r="C80" i="9"/>
  <c r="B80" i="9"/>
  <c r="A80" i="9"/>
  <c r="Q79" i="9"/>
  <c r="G79" i="9"/>
  <c r="F79" i="9"/>
  <c r="E79" i="9"/>
  <c r="D79" i="9"/>
  <c r="C79" i="9"/>
  <c r="B79" i="9"/>
  <c r="A79" i="9"/>
  <c r="Q78" i="9"/>
  <c r="I78" i="9"/>
  <c r="G78" i="9"/>
  <c r="F78" i="9"/>
  <c r="E78" i="9"/>
  <c r="D78" i="9"/>
  <c r="C78" i="9"/>
  <c r="B78" i="9"/>
  <c r="A78" i="9"/>
  <c r="Q77" i="9"/>
  <c r="I77" i="9"/>
  <c r="G77" i="9"/>
  <c r="F77" i="9"/>
  <c r="E77" i="9"/>
  <c r="D77" i="9"/>
  <c r="C77" i="9"/>
  <c r="B77" i="9"/>
  <c r="A77" i="9"/>
  <c r="Q76" i="9"/>
  <c r="G76" i="9"/>
  <c r="F76" i="9"/>
  <c r="E76" i="9"/>
  <c r="D76" i="9"/>
  <c r="C76" i="9"/>
  <c r="B76" i="9"/>
  <c r="A76" i="9"/>
  <c r="Q75" i="9"/>
  <c r="G75" i="9"/>
  <c r="F75" i="9"/>
  <c r="E75" i="9"/>
  <c r="D75" i="9"/>
  <c r="C75" i="9"/>
  <c r="B75" i="9"/>
  <c r="A75" i="9"/>
  <c r="Q74" i="9"/>
  <c r="G74" i="9"/>
  <c r="F74" i="9"/>
  <c r="E74" i="9"/>
  <c r="D74" i="9"/>
  <c r="C74" i="9"/>
  <c r="B74" i="9"/>
  <c r="A74" i="9"/>
  <c r="Q73" i="9"/>
  <c r="I73" i="9"/>
  <c r="G73" i="9"/>
  <c r="F73" i="9"/>
  <c r="E73" i="9"/>
  <c r="D73" i="9"/>
  <c r="C73" i="9"/>
  <c r="B73" i="9"/>
  <c r="A73" i="9"/>
  <c r="Q72" i="9"/>
  <c r="G72" i="9"/>
  <c r="F72" i="9"/>
  <c r="E72" i="9"/>
  <c r="D72" i="9"/>
  <c r="C72" i="9"/>
  <c r="B72" i="9"/>
  <c r="A72" i="9"/>
  <c r="Q71" i="9"/>
  <c r="G71" i="9"/>
  <c r="F71" i="9"/>
  <c r="E71" i="9"/>
  <c r="D71" i="9"/>
  <c r="C71" i="9"/>
  <c r="B71" i="9"/>
  <c r="A71" i="9"/>
  <c r="Q70" i="9"/>
  <c r="G70" i="9"/>
  <c r="F70" i="9"/>
  <c r="E70" i="9"/>
  <c r="D70" i="9"/>
  <c r="C70" i="9"/>
  <c r="B70" i="9"/>
  <c r="A70" i="9"/>
  <c r="Q69" i="9"/>
  <c r="I69" i="9"/>
  <c r="G69" i="9"/>
  <c r="F69" i="9"/>
  <c r="E69" i="9"/>
  <c r="D69" i="9"/>
  <c r="C69" i="9"/>
  <c r="B69" i="9"/>
  <c r="A69" i="9"/>
  <c r="Q68" i="9"/>
  <c r="I68" i="9"/>
  <c r="G68" i="9"/>
  <c r="F68" i="9"/>
  <c r="E68" i="9"/>
  <c r="D68" i="9"/>
  <c r="C68" i="9"/>
  <c r="B68" i="9"/>
  <c r="A68" i="9"/>
  <c r="Q67" i="9"/>
  <c r="I67" i="9"/>
  <c r="G67" i="9"/>
  <c r="F67" i="9"/>
  <c r="E67" i="9"/>
  <c r="D67" i="9"/>
  <c r="C67" i="9"/>
  <c r="B67" i="9"/>
  <c r="A67" i="9"/>
  <c r="Q66" i="9"/>
  <c r="I66" i="9"/>
  <c r="G66" i="9"/>
  <c r="F66" i="9"/>
  <c r="E66" i="9"/>
  <c r="D66" i="9"/>
  <c r="C66" i="9"/>
  <c r="B66" i="9"/>
  <c r="A66" i="9"/>
  <c r="Q65" i="9"/>
  <c r="G65" i="9"/>
  <c r="F65" i="9"/>
  <c r="E65" i="9"/>
  <c r="D65" i="9"/>
  <c r="C65" i="9"/>
  <c r="B65" i="9"/>
  <c r="A65" i="9"/>
  <c r="Q64" i="9"/>
  <c r="G64" i="9"/>
  <c r="F64" i="9"/>
  <c r="E64" i="9"/>
  <c r="D64" i="9"/>
  <c r="C64" i="9"/>
  <c r="B64" i="9"/>
  <c r="A64" i="9"/>
  <c r="Q63" i="9"/>
  <c r="G63" i="9"/>
  <c r="F63" i="9"/>
  <c r="E63" i="9"/>
  <c r="D63" i="9"/>
  <c r="C63" i="9"/>
  <c r="B63" i="9"/>
  <c r="A63" i="9"/>
  <c r="Q62" i="9"/>
  <c r="G62" i="9"/>
  <c r="F62" i="9"/>
  <c r="E62" i="9"/>
  <c r="D62" i="9"/>
  <c r="C62" i="9"/>
  <c r="B62" i="9"/>
  <c r="A62" i="9"/>
  <c r="Q61" i="9"/>
  <c r="G61" i="9"/>
  <c r="F61" i="9"/>
  <c r="E61" i="9"/>
  <c r="D61" i="9"/>
  <c r="C61" i="9"/>
  <c r="B61" i="9"/>
  <c r="A61" i="9"/>
  <c r="Q60" i="9"/>
  <c r="G60" i="9"/>
  <c r="F60" i="9"/>
  <c r="E60" i="9"/>
  <c r="D60" i="9"/>
  <c r="C60" i="9"/>
  <c r="B60" i="9"/>
  <c r="A60" i="9"/>
  <c r="Q59" i="9"/>
  <c r="N59" i="9"/>
  <c r="G59" i="9"/>
  <c r="F59" i="9"/>
  <c r="E59" i="9"/>
  <c r="D59" i="9"/>
  <c r="C59" i="9"/>
  <c r="B59" i="9"/>
  <c r="A59" i="9"/>
  <c r="Q58" i="9"/>
  <c r="K58" i="9"/>
  <c r="H58" i="9"/>
  <c r="G58" i="9"/>
  <c r="F58" i="9"/>
  <c r="E58" i="9"/>
  <c r="D58" i="9"/>
  <c r="C58" i="9"/>
  <c r="B58" i="9"/>
  <c r="A58" i="9"/>
  <c r="Q57" i="9"/>
  <c r="K57" i="9"/>
  <c r="H57" i="9"/>
  <c r="G57" i="9"/>
  <c r="F57" i="9"/>
  <c r="E57" i="9"/>
  <c r="D57" i="9"/>
  <c r="C57" i="9"/>
  <c r="B57" i="9"/>
  <c r="A57" i="9"/>
  <c r="K56" i="9"/>
  <c r="H56" i="9"/>
  <c r="G56" i="9"/>
  <c r="F56" i="9"/>
  <c r="E56" i="9"/>
  <c r="D56" i="9"/>
  <c r="C56" i="9"/>
  <c r="B56" i="9"/>
  <c r="A56" i="9"/>
  <c r="K55" i="9"/>
  <c r="I55" i="9"/>
  <c r="H55" i="9"/>
  <c r="G55" i="9"/>
  <c r="F55" i="9"/>
  <c r="E55" i="9"/>
  <c r="D55" i="9"/>
  <c r="C55" i="9"/>
  <c r="B55" i="9"/>
  <c r="A55" i="9"/>
  <c r="K54" i="9"/>
  <c r="I54" i="9"/>
  <c r="H54" i="9"/>
  <c r="G54" i="9"/>
  <c r="F54" i="9"/>
  <c r="E54" i="9"/>
  <c r="D54" i="9"/>
  <c r="C54" i="9"/>
  <c r="B54" i="9"/>
  <c r="A54" i="9"/>
  <c r="K53" i="9"/>
  <c r="I53" i="9"/>
  <c r="H53" i="9"/>
  <c r="G53" i="9"/>
  <c r="F53" i="9"/>
  <c r="E53" i="9"/>
  <c r="D53" i="9"/>
  <c r="C53" i="9"/>
  <c r="B53" i="9"/>
  <c r="A53" i="9"/>
  <c r="K52" i="9"/>
  <c r="I52" i="9"/>
  <c r="H52" i="9"/>
  <c r="G52" i="9"/>
  <c r="F52" i="9"/>
  <c r="E52" i="9"/>
  <c r="D52" i="9"/>
  <c r="C52" i="9"/>
  <c r="B52" i="9"/>
  <c r="A52" i="9"/>
  <c r="K51" i="9"/>
  <c r="I51" i="9"/>
  <c r="H51" i="9"/>
  <c r="G51" i="9"/>
  <c r="F51" i="9"/>
  <c r="E51" i="9"/>
  <c r="D51" i="9"/>
  <c r="C51" i="9"/>
  <c r="B51" i="9"/>
  <c r="A51" i="9"/>
  <c r="K50" i="9"/>
  <c r="I50" i="9"/>
  <c r="H50" i="9"/>
  <c r="G50" i="9"/>
  <c r="F50" i="9"/>
  <c r="E50" i="9"/>
  <c r="D50" i="9"/>
  <c r="C50" i="9"/>
  <c r="B50" i="9"/>
  <c r="A50" i="9"/>
  <c r="K49" i="9"/>
  <c r="H49" i="9"/>
  <c r="G49" i="9"/>
  <c r="F49" i="9"/>
  <c r="E49" i="9"/>
  <c r="D49" i="9"/>
  <c r="C49" i="9"/>
  <c r="B49" i="9"/>
  <c r="A49" i="9"/>
  <c r="L48" i="9"/>
  <c r="K48" i="9"/>
  <c r="H48" i="9"/>
  <c r="G48" i="9"/>
  <c r="F48" i="9"/>
  <c r="E48" i="9"/>
  <c r="D48" i="9"/>
  <c r="C48" i="9"/>
  <c r="B48" i="9"/>
  <c r="A48" i="9"/>
  <c r="L47" i="9"/>
  <c r="K47" i="9"/>
  <c r="H47" i="9"/>
  <c r="G47" i="9"/>
  <c r="F47" i="9"/>
  <c r="E47" i="9"/>
  <c r="D47" i="9"/>
  <c r="C47" i="9"/>
  <c r="B47" i="9"/>
  <c r="A47" i="9"/>
  <c r="K46" i="9"/>
  <c r="H46" i="9"/>
  <c r="G46" i="9"/>
  <c r="F46" i="9"/>
  <c r="E46" i="9"/>
  <c r="D46" i="9"/>
  <c r="C46" i="9"/>
  <c r="B46" i="9"/>
  <c r="A46" i="9"/>
  <c r="L45" i="9"/>
  <c r="K45" i="9"/>
  <c r="H45" i="9"/>
  <c r="G45" i="9"/>
  <c r="F45" i="9"/>
  <c r="E45" i="9"/>
  <c r="D45" i="9"/>
  <c r="C45" i="9"/>
  <c r="B45" i="9"/>
  <c r="A45" i="9"/>
  <c r="P44" i="9"/>
  <c r="K44" i="9"/>
  <c r="H44" i="9"/>
  <c r="G44" i="9"/>
  <c r="F44" i="9"/>
  <c r="E44" i="9"/>
  <c r="D44" i="9"/>
  <c r="C44" i="9"/>
  <c r="B44" i="9"/>
  <c r="A44" i="9"/>
  <c r="K43" i="9"/>
  <c r="H43" i="9"/>
  <c r="G43" i="9"/>
  <c r="F43" i="9"/>
  <c r="E43" i="9"/>
  <c r="D43" i="9"/>
  <c r="C43" i="9"/>
  <c r="B43" i="9"/>
  <c r="A43" i="9"/>
  <c r="K42" i="9"/>
  <c r="H42" i="9"/>
  <c r="G42" i="9"/>
  <c r="F42" i="9"/>
  <c r="E42" i="9"/>
  <c r="D42" i="9"/>
  <c r="C42" i="9"/>
  <c r="B42" i="9"/>
  <c r="A42" i="9"/>
  <c r="K41" i="9"/>
  <c r="H41" i="9"/>
  <c r="G41" i="9"/>
  <c r="F41" i="9"/>
  <c r="E41" i="9"/>
  <c r="D41" i="9"/>
  <c r="C41" i="9"/>
  <c r="B41" i="9"/>
  <c r="A41" i="9"/>
  <c r="K40" i="9"/>
  <c r="H40" i="9"/>
  <c r="G40" i="9"/>
  <c r="F40" i="9"/>
  <c r="E40" i="9"/>
  <c r="D40" i="9"/>
  <c r="C40" i="9"/>
  <c r="B40" i="9"/>
  <c r="A40" i="9"/>
  <c r="K39" i="9"/>
  <c r="H39" i="9"/>
  <c r="G39" i="9"/>
  <c r="F39" i="9"/>
  <c r="E39" i="9"/>
  <c r="D39" i="9"/>
  <c r="C39" i="9"/>
  <c r="B39" i="9"/>
  <c r="A39" i="9"/>
  <c r="K38" i="9"/>
  <c r="H38" i="9"/>
  <c r="G38" i="9"/>
  <c r="F38" i="9"/>
  <c r="E38" i="9"/>
  <c r="D38" i="9"/>
  <c r="C38" i="9"/>
  <c r="B38" i="9"/>
  <c r="A38" i="9"/>
  <c r="K37" i="9"/>
  <c r="H37" i="9"/>
  <c r="G37" i="9"/>
  <c r="F37" i="9"/>
  <c r="E37" i="9"/>
  <c r="D37" i="9"/>
  <c r="C37" i="9"/>
  <c r="B37" i="9"/>
  <c r="A37" i="9"/>
  <c r="K36" i="9"/>
  <c r="H36" i="9"/>
  <c r="G36" i="9"/>
  <c r="F36" i="9"/>
  <c r="E36" i="9"/>
  <c r="D36" i="9"/>
  <c r="C36" i="9"/>
  <c r="B36" i="9"/>
  <c r="A36" i="9"/>
  <c r="K35" i="9"/>
  <c r="H35" i="9"/>
  <c r="G35" i="9"/>
  <c r="F35" i="9"/>
  <c r="E35" i="9"/>
  <c r="D35" i="9"/>
  <c r="C35" i="9"/>
  <c r="B35" i="9"/>
  <c r="A35" i="9"/>
  <c r="K34" i="9"/>
  <c r="H34" i="9"/>
  <c r="G34" i="9"/>
  <c r="F34" i="9"/>
  <c r="E34" i="9"/>
  <c r="D34" i="9"/>
  <c r="C34" i="9"/>
  <c r="B34" i="9"/>
  <c r="A34" i="9"/>
  <c r="K33" i="9"/>
  <c r="H33" i="9"/>
  <c r="G33" i="9"/>
  <c r="F33" i="9"/>
  <c r="E33" i="9"/>
  <c r="D33" i="9"/>
  <c r="C33" i="9"/>
  <c r="B33" i="9"/>
  <c r="A33" i="9"/>
  <c r="K32" i="9"/>
  <c r="H32" i="9"/>
  <c r="G32" i="9"/>
  <c r="F32" i="9"/>
  <c r="E32" i="9"/>
  <c r="D32" i="9"/>
  <c r="C32" i="9"/>
  <c r="B32" i="9"/>
  <c r="A32" i="9"/>
  <c r="K31" i="9"/>
  <c r="H31" i="9"/>
  <c r="G31" i="9"/>
  <c r="F31" i="9"/>
  <c r="E31" i="9"/>
  <c r="D31" i="9"/>
  <c r="C31" i="9"/>
  <c r="B31" i="9"/>
  <c r="A31" i="9"/>
  <c r="K30" i="9"/>
  <c r="H30" i="9"/>
  <c r="G30" i="9"/>
  <c r="F30" i="9"/>
  <c r="E30" i="9"/>
  <c r="D30" i="9"/>
  <c r="C30" i="9"/>
  <c r="B30" i="9"/>
  <c r="A30" i="9"/>
  <c r="K29" i="9"/>
  <c r="H29" i="9"/>
  <c r="G29" i="9"/>
  <c r="F29" i="9"/>
  <c r="E29" i="9"/>
  <c r="D29" i="9"/>
  <c r="C29" i="9"/>
  <c r="B29" i="9"/>
  <c r="A29" i="9"/>
  <c r="K28" i="9"/>
  <c r="H28" i="9"/>
  <c r="G28" i="9"/>
  <c r="F28" i="9"/>
  <c r="E28" i="9"/>
  <c r="D28" i="9"/>
  <c r="C28" i="9"/>
  <c r="B28" i="9"/>
  <c r="A28" i="9"/>
  <c r="K27" i="9"/>
  <c r="H27" i="9"/>
  <c r="G27" i="9"/>
  <c r="F27" i="9"/>
  <c r="E27" i="9"/>
  <c r="D27" i="9"/>
  <c r="C27" i="9"/>
  <c r="B27" i="9"/>
  <c r="A27" i="9"/>
  <c r="K26" i="9"/>
  <c r="H26" i="9"/>
  <c r="G26" i="9"/>
  <c r="F26" i="9"/>
  <c r="E26" i="9"/>
  <c r="D26" i="9"/>
  <c r="C26" i="9"/>
  <c r="B26" i="9"/>
  <c r="A26" i="9"/>
  <c r="K25" i="9"/>
  <c r="H25" i="9"/>
  <c r="G25" i="9"/>
  <c r="F25" i="9"/>
  <c r="E25" i="9"/>
  <c r="D25" i="9"/>
  <c r="C25" i="9"/>
  <c r="B25" i="9"/>
  <c r="A25" i="9"/>
  <c r="Q24" i="9"/>
  <c r="I24" i="9"/>
  <c r="G24" i="9"/>
  <c r="F24" i="9"/>
  <c r="E24" i="9"/>
  <c r="D24" i="9"/>
  <c r="C24" i="9"/>
  <c r="B24" i="9"/>
  <c r="A24" i="9"/>
  <c r="Q23" i="9"/>
  <c r="I23" i="9"/>
  <c r="G23" i="9"/>
  <c r="F23" i="9"/>
  <c r="E23" i="9"/>
  <c r="D23" i="9"/>
  <c r="C23" i="9"/>
  <c r="B23" i="9"/>
  <c r="A23" i="9"/>
  <c r="Q22" i="9"/>
  <c r="L22" i="9"/>
  <c r="I22" i="9"/>
  <c r="G22" i="9"/>
  <c r="F22" i="9"/>
  <c r="E22" i="9"/>
  <c r="D22" i="9"/>
  <c r="C22" i="9"/>
  <c r="B22" i="9"/>
  <c r="A22" i="9"/>
  <c r="Q21" i="9"/>
  <c r="G21" i="9"/>
  <c r="F21" i="9"/>
  <c r="E21" i="9"/>
  <c r="D21" i="9"/>
  <c r="C21" i="9"/>
  <c r="B21" i="9"/>
  <c r="A21" i="9"/>
  <c r="Q20" i="9"/>
  <c r="M20" i="9"/>
  <c r="G20" i="9"/>
  <c r="F20" i="9"/>
  <c r="E20" i="9"/>
  <c r="D20" i="9"/>
  <c r="C20" i="9"/>
  <c r="B20" i="9"/>
  <c r="A20" i="9"/>
  <c r="Q19" i="9"/>
  <c r="I19" i="9"/>
  <c r="G19" i="9"/>
  <c r="F19" i="9"/>
  <c r="E19" i="9"/>
  <c r="D19" i="9"/>
  <c r="C19" i="9"/>
  <c r="B19" i="9"/>
  <c r="A19" i="9"/>
  <c r="Q18" i="9"/>
  <c r="I18" i="9"/>
  <c r="G18" i="9"/>
  <c r="F18" i="9"/>
  <c r="E18" i="9"/>
  <c r="D18" i="9"/>
  <c r="C18" i="9"/>
  <c r="B18" i="9"/>
  <c r="A18" i="9"/>
  <c r="Q17" i="9"/>
  <c r="M17" i="9"/>
  <c r="G17" i="9"/>
  <c r="F17" i="9"/>
  <c r="E17" i="9"/>
  <c r="D17" i="9"/>
  <c r="C17" i="9"/>
  <c r="B17" i="9"/>
  <c r="A17" i="9"/>
  <c r="Q16" i="9"/>
  <c r="G16" i="9"/>
  <c r="F16" i="9"/>
  <c r="E16" i="9"/>
  <c r="D16" i="9"/>
  <c r="C16" i="9"/>
  <c r="B16" i="9"/>
  <c r="A16" i="9"/>
  <c r="Q15" i="9"/>
  <c r="G15" i="9"/>
  <c r="F15" i="9"/>
  <c r="E15" i="9"/>
  <c r="D15" i="9"/>
  <c r="C15" i="9"/>
  <c r="B15" i="9"/>
  <c r="A15" i="9"/>
  <c r="Q14" i="9"/>
  <c r="G14" i="9"/>
  <c r="F14" i="9"/>
  <c r="E14" i="9"/>
  <c r="D14" i="9"/>
  <c r="C14" i="9"/>
  <c r="B14" i="9"/>
  <c r="A14" i="9"/>
  <c r="Q13" i="9"/>
  <c r="I13" i="9"/>
  <c r="G13" i="9"/>
  <c r="F13" i="9"/>
  <c r="E13" i="9"/>
  <c r="D13" i="9"/>
  <c r="C13" i="9"/>
  <c r="B13" i="9"/>
  <c r="A13" i="9"/>
  <c r="Q12" i="9"/>
  <c r="G12" i="9"/>
  <c r="F12" i="9"/>
  <c r="E12" i="9"/>
  <c r="D12" i="9"/>
  <c r="C12" i="9"/>
  <c r="B12" i="9"/>
  <c r="A12" i="9"/>
  <c r="Q11" i="9"/>
  <c r="I11" i="9"/>
  <c r="G11" i="9"/>
  <c r="F11" i="9"/>
  <c r="E11" i="9"/>
  <c r="D11" i="9"/>
  <c r="C11" i="9"/>
  <c r="B11" i="9"/>
  <c r="A11" i="9"/>
  <c r="Q10" i="9"/>
  <c r="I10" i="9"/>
  <c r="G10" i="9"/>
  <c r="F10" i="9"/>
  <c r="E10" i="9"/>
  <c r="D10" i="9"/>
  <c r="C10" i="9"/>
  <c r="B10" i="9"/>
  <c r="A10" i="9"/>
  <c r="Q9" i="9"/>
  <c r="I9" i="9"/>
  <c r="G9" i="9"/>
  <c r="F9" i="9"/>
  <c r="E9" i="9"/>
  <c r="D9" i="9"/>
  <c r="C9" i="9"/>
  <c r="B9" i="9"/>
  <c r="A9" i="9"/>
  <c r="Q8" i="9"/>
  <c r="N8" i="9"/>
  <c r="G8" i="9"/>
  <c r="F8" i="9"/>
  <c r="E8" i="9"/>
  <c r="D8" i="9"/>
  <c r="C8" i="9"/>
  <c r="B8" i="9"/>
  <c r="A8" i="9"/>
  <c r="Q7" i="9"/>
  <c r="I7" i="9"/>
  <c r="G7" i="9"/>
  <c r="F7" i="9"/>
  <c r="E7" i="9"/>
  <c r="D7" i="9"/>
  <c r="C7" i="9"/>
  <c r="B7" i="9"/>
  <c r="A7" i="9"/>
  <c r="Q6" i="9"/>
  <c r="K6" i="9"/>
  <c r="G6" i="9"/>
  <c r="F6" i="9"/>
  <c r="E6" i="9"/>
  <c r="D6" i="9"/>
  <c r="C6" i="9"/>
  <c r="B6" i="9"/>
  <c r="A6" i="9"/>
  <c r="Q5" i="9"/>
  <c r="K5" i="9"/>
  <c r="G5" i="9"/>
  <c r="F5" i="9"/>
  <c r="E5" i="9"/>
  <c r="D5" i="9"/>
  <c r="C5" i="9"/>
  <c r="B5" i="9"/>
  <c r="A5" i="9"/>
  <c r="Q4" i="9"/>
  <c r="K4" i="9"/>
  <c r="G4" i="9"/>
  <c r="F4" i="9"/>
  <c r="E4" i="9"/>
  <c r="D4" i="9"/>
  <c r="C4" i="9"/>
  <c r="B4" i="9"/>
  <c r="A4" i="9"/>
  <c r="Q3" i="9"/>
  <c r="K3" i="9"/>
  <c r="I3" i="9"/>
  <c r="G3" i="9"/>
  <c r="F3" i="9"/>
  <c r="E3" i="9"/>
  <c r="D3" i="9"/>
  <c r="C3" i="9"/>
  <c r="B3" i="9"/>
  <c r="A3" i="9"/>
</calcChain>
</file>

<file path=xl/sharedStrings.xml><?xml version="1.0" encoding="utf-8"?>
<sst xmlns="http://schemas.openxmlformats.org/spreadsheetml/2006/main" count="8932" uniqueCount="2401">
  <si>
    <t>Statement Number</t>
  </si>
  <si>
    <t>National Curriculum Statement</t>
  </si>
  <si>
    <t>Abbreviation</t>
  </si>
  <si>
    <t>Strand</t>
  </si>
  <si>
    <t>Description</t>
  </si>
  <si>
    <t>The Computing Curriculum Map</t>
  </si>
  <si>
    <t>NW</t>
  </si>
  <si>
    <t>Networks</t>
  </si>
  <si>
    <t>Understand how networks can be used to retrieve and share information and come with associated risks</t>
  </si>
  <si>
    <t>CM</t>
  </si>
  <si>
    <t>Creating Media</t>
  </si>
  <si>
    <t>Select and create a range of media including text, images, sounds and video.</t>
  </si>
  <si>
    <t>DI</t>
  </si>
  <si>
    <t>Data &amp; Information</t>
  </si>
  <si>
    <t>How is data stored, organised and used to represent real world artefacts and scenarios</t>
  </si>
  <si>
    <t>DD</t>
  </si>
  <si>
    <t>Design &amp; Deveopment</t>
  </si>
  <si>
    <t>The activities involved in planning, creating and evaluating computing artefacts</t>
  </si>
  <si>
    <t>CS</t>
  </si>
  <si>
    <t>Computing Systems</t>
  </si>
  <si>
    <t>What is a computer, how do it’s constituent parts function together as a whole</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</si>
  <si>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</si>
  <si>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</si>
  <si>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</si>
  <si>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</si>
  <si>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</si>
  <si>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</si>
  <si>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</si>
  <si>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</si>
  <si>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</si>
  <si>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</si>
  <si>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</si>
  <si>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</si>
  <si>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</si>
  <si>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</si>
  <si>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</si>
  <si>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</si>
  <si>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Computing systems</t>
  </si>
  <si>
    <t>develop their capability, creativity and knowledge in computer science, digital media
and information technology</t>
  </si>
  <si>
    <r>
      <rPr>
        <sz val="12"/>
        <rFont val="Roboto"/>
      </rPr>
      <t xml:space="preserve">Welcome to the </t>
    </r>
    <r>
      <rPr>
        <b/>
        <sz val="12"/>
        <rFont val="Roboto"/>
      </rPr>
      <t>The Computing Curriculum</t>
    </r>
    <r>
      <rPr>
        <sz val="12"/>
        <rFont val="Roboto"/>
      </rPr>
      <t xml:space="preserve"> Map. This document provides an overview of the units and lessons designed for students aged 14 to 16 (Key Stage 4). Additional mapping documents are available for teaching students of other ages at </t>
    </r>
    <r>
      <rPr>
        <u/>
        <sz val="12"/>
        <color rgb="FF1155CC"/>
        <rFont val="Roboto"/>
      </rPr>
      <t>the-cc.io</t>
    </r>
    <r>
      <rPr>
        <sz val="12"/>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are also able to explore progression within the curriculum materials as each objective is mapped to one or more of the 10 strands within our content taxonomy. For example if you want to understand how skills and concepts around networks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t>
    </r>
  </si>
  <si>
    <t>develop and apply their analytic, problem-solving, design, and computational thinking
skills</t>
  </si>
  <si>
    <t>understand how changes in technology affect safety, including new ways to protect their online privacy and identity, and how to identify and report a range of concerns.</t>
  </si>
  <si>
    <t>National Curriculum Links</t>
  </si>
  <si>
    <t>Year
Group</t>
  </si>
  <si>
    <t>Suggested Order</t>
  </si>
  <si>
    <t>Unit Name</t>
  </si>
  <si>
    <t>Lesson</t>
  </si>
  <si>
    <t>Learning Objectives</t>
  </si>
  <si>
    <t>Education for a Connected World</t>
  </si>
  <si>
    <t>- Copyright and ownership
- Health, well-being and lifestyle</t>
  </si>
  <si>
    <t>- Copyright and ownership</t>
  </si>
  <si>
    <t>- Privacy and security</t>
  </si>
  <si>
    <t>- Health, well-being and lifestyle</t>
  </si>
  <si>
    <t>- Self-image and identity</t>
  </si>
  <si>
    <t>- Copyright and ownership
- Managing online information</t>
  </si>
  <si>
    <t>- Copyright and ownership
- Self-image and identity</t>
  </si>
  <si>
    <t>- Managing online information
- Online relationships
- Online reputation
- Self-image and identity</t>
  </si>
  <si>
    <t>- Managing online information
- Online reputation</t>
  </si>
  <si>
    <t>- Copyright and ownership
- Online relationships</t>
  </si>
  <si>
    <t>- Online bullying
- Online relationships
- Privacy and security</t>
  </si>
  <si>
    <t>- Managing online information
- Online bullying
- Online relationships
- Online reputation
- Privacy and security
- Self-image and identity</t>
  </si>
  <si>
    <t>GCSE Exam Board Topics</t>
  </si>
  <si>
    <t>AQA</t>
  </si>
  <si>
    <t>OCR</t>
  </si>
  <si>
    <t>Edexcel</t>
  </si>
  <si>
    <t>Eduquas</t>
  </si>
  <si>
    <t>Fundamentals of algorithms</t>
  </si>
  <si>
    <t>Computational thinking</t>
  </si>
  <si>
    <t>Systems Analysis</t>
  </si>
  <si>
    <t>Algorithms and constructs</t>
  </si>
  <si>
    <t>Computer systems</t>
  </si>
  <si>
    <t>Systems architecture</t>
  </si>
  <si>
    <t>Computers</t>
  </si>
  <si>
    <t>Hardware</t>
  </si>
  <si>
    <t>Systems architecture
Systems software</t>
  </si>
  <si>
    <t>Hardware
Operating systems</t>
  </si>
  <si>
    <t>Operating systems</t>
  </si>
  <si>
    <t>Memory and storage</t>
  </si>
  <si>
    <t>Computer networks, connections and protocols</t>
  </si>
  <si>
    <t>Boolean logic</t>
  </si>
  <si>
    <t>Logical Operators</t>
  </si>
  <si>
    <t>Programming languages and Integrated Development Environments</t>
  </si>
  <si>
    <t>Principles of programming</t>
  </si>
  <si>
    <t>Fundamentals of data representation</t>
  </si>
  <si>
    <t>Data</t>
  </si>
  <si>
    <t>Data representation and storage</t>
  </si>
  <si>
    <t>- Copyright and ownership
- Privacy and security</t>
  </si>
  <si>
    <t>Program construction</t>
  </si>
  <si>
    <t>Programming fundamentals</t>
  </si>
  <si>
    <t>Problem solving with programming</t>
  </si>
  <si>
    <t>Producing robust programs</t>
  </si>
  <si>
    <t>Software development</t>
  </si>
  <si>
    <t>Algorithms
Programming fundamentals</t>
  </si>
  <si>
    <t>Relational databases and structured query language (SQL)</t>
  </si>
  <si>
    <t>Cyber security</t>
  </si>
  <si>
    <t>Networking and cybersecurity</t>
  </si>
  <si>
    <t>Network security</t>
  </si>
  <si>
    <t>Issues and impact</t>
  </si>
  <si>
    <t>Ethical, legal, cultural and environmental impacts of digital technology</t>
  </si>
  <si>
    <t>Relational databases and structure</t>
  </si>
  <si>
    <t>Impacts of digital technology on wider society</t>
  </si>
  <si>
    <t>Additional programming techniques</t>
  </si>
  <si>
    <t>Exam board</t>
  </si>
  <si>
    <t>Paper</t>
  </si>
  <si>
    <t>Topic</t>
  </si>
  <si>
    <t>Sub-topic</t>
  </si>
  <si>
    <t>Statement</t>
  </si>
  <si>
    <t>Units</t>
  </si>
  <si>
    <t>Algorithms 1</t>
  </si>
  <si>
    <t>Computer Systems</t>
  </si>
  <si>
    <t>Data Representation</t>
  </si>
  <si>
    <t>Algorithms 2</t>
  </si>
  <si>
    <t>Impacts of technology</t>
  </si>
  <si>
    <t>Computer Networks</t>
  </si>
  <si>
    <t>Network Security</t>
  </si>
  <si>
    <t>Databases and SQL</t>
  </si>
  <si>
    <t>Sequence</t>
  </si>
  <si>
    <t>Selection</t>
  </si>
  <si>
    <t>Iteration</t>
  </si>
  <si>
    <t>Subroutines</t>
  </si>
  <si>
    <t>Strings and lists</t>
  </si>
  <si>
    <t>Dictionaries and data files</t>
  </si>
  <si>
    <t>HTML</t>
  </si>
  <si>
    <t>Object-oriented programming</t>
  </si>
  <si>
    <t>AQA.3.1.1.a</t>
  </si>
  <si>
    <t>Paper 1</t>
  </si>
  <si>
    <t>3.1 - Fundamentals of algorithms</t>
  </si>
  <si>
    <t>Representing algorithms</t>
  </si>
  <si>
    <t>Understand and explain the term algorithm.</t>
  </si>
  <si>
    <t>AQA.3.1.1.b</t>
  </si>
  <si>
    <t>Understand and explain the term decomposition.</t>
  </si>
  <si>
    <t>Algorithms 1, Subroutines</t>
  </si>
  <si>
    <t>AQA.3.1.1.c</t>
  </si>
  <si>
    <t>Understand and explain the term abstraction.</t>
  </si>
  <si>
    <t>AQA.3.1.1.d</t>
  </si>
  <si>
    <t>Use a systematic approach to problem solving and algorithm creation representing those algorithms using pseudo-code and flowcharts.</t>
  </si>
  <si>
    <t>Algorithms 1, Dictionaries and datafiles, Flat-file databases, Iteration, Selection, Sequence, Subroutines</t>
  </si>
  <si>
    <t>AQA.3.1.1.e</t>
  </si>
  <si>
    <t>Explain simple algorithms in terms of their inputs, processing and outputs.</t>
  </si>
  <si>
    <t>AQA.3.1.1.f</t>
  </si>
  <si>
    <t>Determine the purpose of simple algorithms.</t>
  </si>
  <si>
    <t>AQA.3.1.2.a</t>
  </si>
  <si>
    <t>Efficiency of algorithms</t>
  </si>
  <si>
    <t>Understand that more than one algorithm can be used to solve the same problem.</t>
  </si>
  <si>
    <t>Algorithms 2, Dictionaries and datafiles</t>
  </si>
  <si>
    <t>AQA.3.1.2.b</t>
  </si>
  <si>
    <t>Compare the efficiency of algorithms explaining 	how some algorithms are more efficient than 	others in solving the same problem.</t>
  </si>
  <si>
    <t>AQA.3.1.3.a</t>
  </si>
  <si>
    <t>Searching algorithms</t>
  </si>
  <si>
    <t>Understand and explain how the linear search algorithm works.</t>
  </si>
  <si>
    <t>AQA.3.1.3.b</t>
  </si>
  <si>
    <t>Understand and explain how the binary search algorithm works.</t>
  </si>
  <si>
    <t>AQA.3.1.3.c</t>
  </si>
  <si>
    <t>Compare and contrast linear and binary search algorithms.</t>
  </si>
  <si>
    <t>AQA.3.1.4.a</t>
  </si>
  <si>
    <t>Sorting algorithms</t>
  </si>
  <si>
    <t>Understand and explain how the merge sort algorithm works.</t>
  </si>
  <si>
    <t>AQA.3.1.4.b</t>
  </si>
  <si>
    <t>Understand and explain how the bubble sort algorithm works.</t>
  </si>
  <si>
    <t>AQA.3.1.4.c</t>
  </si>
  <si>
    <t>Compare and contrast merge sort and bubble sort algorithms.</t>
  </si>
  <si>
    <t>AQA.3.2.1.a</t>
  </si>
  <si>
    <t>3.2 - Programming</t>
  </si>
  <si>
    <t>Data types</t>
  </si>
  <si>
    <t>Understand the concept of a data type.</t>
  </si>
  <si>
    <t>AQA.3.2.1.b</t>
  </si>
  <si>
    <t>Understand and use the following appropriately:
- integer
- real
- Boolean
- character
- string.</t>
  </si>
  <si>
    <t>Databases and SQL, Sequence</t>
  </si>
  <si>
    <t>AQA.3.2.10.a</t>
  </si>
  <si>
    <t>Understand the concept of subroutines</t>
  </si>
  <si>
    <t>AQA.3.2.10.b</t>
  </si>
  <si>
    <t>Explain the advantages of using subroutines in programs.</t>
  </si>
  <si>
    <t>AQA.3.2.10.c</t>
  </si>
  <si>
    <t>Describe the use of parameters to pass data within programs.</t>
  </si>
  <si>
    <t>AQA.3.2.10.d</t>
  </si>
  <si>
    <t>Use subroutines that return values to the calling routine.</t>
  </si>
  <si>
    <t>Strings and lists, Subroutines</t>
  </si>
  <si>
    <t>AQA.3.2.10.e</t>
  </si>
  <si>
    <t>Know that subroutines may declare their own variables, called local variables, and that local variables usually:
-	only exist while the subroutine is executing
-	are only accessible within the subroutine.</t>
  </si>
  <si>
    <t>AQA.3.2.10.f</t>
  </si>
  <si>
    <t>Use local variables and explain why it is good practice to do so.</t>
  </si>
  <si>
    <t>AQA.3.2.10.g</t>
  </si>
  <si>
    <t>Describe the structured approach to programming.</t>
  </si>
  <si>
    <t>AQA.3.2.10.h</t>
  </si>
  <si>
    <t>Explain the advantages of the structured approach.</t>
  </si>
  <si>
    <t>AQA.3.2.11.a</t>
  </si>
  <si>
    <t>Be able to write simple data validation routines.</t>
  </si>
  <si>
    <t>AQA.3.2.11.b</t>
  </si>
  <si>
    <t>Be able to write simple authentication routines.</t>
  </si>
  <si>
    <t>Iteration, Sequence</t>
  </si>
  <si>
    <t>AQA.3.2.11.c</t>
  </si>
  <si>
    <t>Understand what is meant by testing in the context of algorithms and programs.
Be able to correct errors within algorithms and programs.</t>
  </si>
  <si>
    <t>Iteration, Subroutines</t>
  </si>
  <si>
    <t>AQA.3.2.11.d</t>
  </si>
  <si>
    <t>Understand what test data is and describe the following types of test data:
- normal (typical)
- boundary (extreme)
- erroneous data.</t>
  </si>
  <si>
    <t>AQA.3.2.11.e</t>
  </si>
  <si>
    <t>Be able to select and justify the choice of suitable test data for a given problem.</t>
  </si>
  <si>
    <t>Dictionaries and datafiles</t>
  </si>
  <si>
    <t>AQA.3.2.11.f</t>
  </si>
  <si>
    <t>Understand that there are different types of error:
- syntax error
- logic error.</t>
  </si>
  <si>
    <t>AQA.3.2.11.g</t>
  </si>
  <si>
    <t>Be able to identify and categorise errors within algorithms and programs.</t>
  </si>
  <si>
    <t>Algorithms 1, Algorithms 2, Iteration, Sequence</t>
  </si>
  <si>
    <t>AQA.3.2.2.a</t>
  </si>
  <si>
    <t>Programming concepts</t>
  </si>
  <si>
    <t>Use, understand and know how the following statement types can be combined in programs:
- variable declaration
- constant declaration
- assignment
- iteration
- selection
- subroutine (procedure/function)</t>
  </si>
  <si>
    <t>Iteration, Programming I, Selection, Sequence, Subroutines</t>
  </si>
  <si>
    <t>AQA.3.2.2.b</t>
  </si>
  <si>
    <t>Use definite (count controlled) and indefinite (condition controlled) iteration, including indefinite iteration with the condition(s) at the start or the end of the iterative structure.</t>
  </si>
  <si>
    <t>Iteration, Programming I</t>
  </si>
  <si>
    <t>AQA.3.2.2.c</t>
  </si>
  <si>
    <t>Use nested selection and nested iteration structures.</t>
  </si>
  <si>
    <t>AQA.3.2.2.d</t>
  </si>
  <si>
    <t>Use meaningful identifier names and know why it is important to use them.</t>
  </si>
  <si>
    <t>AQA.3.2.3.a</t>
  </si>
  <si>
    <t>Arithmetic operations in a programming language</t>
  </si>
  <si>
    <t>Be familiar with and be able to use:
- addition
- subtraction
- multiplication
- real division
- integer division, including remainders.</t>
  </si>
  <si>
    <t>AQA.3.2.4.a</t>
  </si>
  <si>
    <t>Relational operations in a programming language</t>
  </si>
  <si>
    <t>Be familiar with and be able to use:
-	equal to
-	not equal to
-	less than
-	greater than
-	less than or equal to
-	greater than or equal to.</t>
  </si>
  <si>
    <t>AQA.3.2.5.a</t>
  </si>
  <si>
    <t>Boolean operations in a programming language</t>
  </si>
  <si>
    <t>Be familiar with and be able to use:
-	NOT
-	AND
-	OR.</t>
  </si>
  <si>
    <t>AQA.3.2.6.a</t>
  </si>
  <si>
    <t>Robust and secure programming</t>
  </si>
  <si>
    <t>Understand the concept of data structures.</t>
  </si>
  <si>
    <t>AQA.3.2.6.b</t>
  </si>
  <si>
    <t>Use arrays (or equivalent) in the design of solutions to simple problems.</t>
  </si>
  <si>
    <t>AQA.3.2.6.c</t>
  </si>
  <si>
    <t>Use records (or equivalent) in the design of solutions to simple problems.</t>
  </si>
  <si>
    <t>Dictionaries and datafiles, Strings and lists</t>
  </si>
  <si>
    <t>AQA.3.2.7.a</t>
  </si>
  <si>
    <t>Be able to obtain user input from the keyboard.</t>
  </si>
  <si>
    <t>AQA.3.2.7.b</t>
  </si>
  <si>
    <t>Be able to output data and information from a program to the computer display</t>
  </si>
  <si>
    <t>AQA.3.2.8.a</t>
  </si>
  <si>
    <t>Understand and be able to use:
-	length
-	position
-	substring
-	concatenation
-	convert character to character code
-	convert character code to character
-	string conversion operations.</t>
  </si>
  <si>
    <t>AQA.3.2.9.a</t>
  </si>
  <si>
    <t>Be able to use random number generation.</t>
  </si>
  <si>
    <t>AQA.3.3.1.a</t>
  </si>
  <si>
    <t>Paper 2</t>
  </si>
  <si>
    <t>3.3 - Fundamentals of data representation</t>
  </si>
  <si>
    <t>Number bases</t>
  </si>
  <si>
    <t>Understand the following number bases:
- decimal (base 10)
- binary (base 2)
- hexadecimal (base 16).</t>
  </si>
  <si>
    <t>AQA.3.3.1.b</t>
  </si>
  <si>
    <t>Understand that computers use binary to represent all data and instructions.</t>
  </si>
  <si>
    <t>AQA.3.3.1.c</t>
  </si>
  <si>
    <t>Explain why hexadecimal is often used in computer science.</t>
  </si>
  <si>
    <t>AQA.3.3.2.a</t>
  </si>
  <si>
    <t>Converting between number bases</t>
  </si>
  <si>
    <t>Understand how binary can be used to represent whole numbers.</t>
  </si>
  <si>
    <t>Representations: from clay to silicon</t>
  </si>
  <si>
    <t>AQA.3.3.2.b</t>
  </si>
  <si>
    <t>Understand how hexadecimal can be used to represent whole numbers.</t>
  </si>
  <si>
    <t>AQA.3.3.2.c</t>
  </si>
  <si>
    <t>Be able to convert in both directions between:
- binary and decimal
- binary and hexadecimal
- decimal and hexadecimal.</t>
  </si>
  <si>
    <t>AQA.3.3.3.a</t>
  </si>
  <si>
    <t>Units of information</t>
  </si>
  <si>
    <t>Know that:
- a bit is the fundamental unit of information
- a byte is a group of 8 bits.</t>
  </si>
  <si>
    <t>AQA.3.3.3.b</t>
  </si>
  <si>
    <t>Know that quantities of bytes can be described
using prefixes.
Know the names, symbols and corresponding values for the decimal prefixes:
- kilo, 1 kB is 1,000 bytes
- mega, 1 MB is 1,000 kilobytes
- giga, 1 GB is 1,000 Megabytes
- tera, 1 TB is 1,000 Gigabytes.
Be able to compare quantities of bytes using the prefixes above.</t>
  </si>
  <si>
    <t>AQA.3.3.4.a</t>
  </si>
  <si>
    <t>Binary arithmetic</t>
  </si>
  <si>
    <t>Be able to add together up to three binary numbers.</t>
  </si>
  <si>
    <t>AQA.3.3.4.b</t>
  </si>
  <si>
    <t>Be able to apply a binary shift to a binary number.</t>
  </si>
  <si>
    <t>AQA.3.3.4.c</t>
  </si>
  <si>
    <t>Describe situations where binary shifts can be used.</t>
  </si>
  <si>
    <t>AQA.3.3.5.a</t>
  </si>
  <si>
    <t>Character encoding</t>
  </si>
  <si>
    <t>Understand what a character set is and be able to describe the following character encoding methods:
- 7-bit ASCII
- Unicode.</t>
  </si>
  <si>
    <t>AQA.3.3.5.b</t>
  </si>
  <si>
    <t>Understand that character codes are commonly grouped and run in sequence within encoding tables.</t>
  </si>
  <si>
    <t>AQA.3.3.5.c</t>
  </si>
  <si>
    <t>Describe the purpose of Unicode and the advantages of Unicode over ASCII.
Know that Unicode uses the same codes as ASCII up to 127.</t>
  </si>
  <si>
    <t>AQA.3.3.6.a</t>
  </si>
  <si>
    <t>Representing images</t>
  </si>
  <si>
    <t>Understand what a pixel is and be able to describe how pixels relate to an image and the way images are displayed.</t>
  </si>
  <si>
    <t>AQA.3.3.6.b</t>
  </si>
  <si>
    <t>Describe the following for bitmaps:
- image size
- colour depth.
Know that the size of a bitmap image in pixels (width x height) is known as the image resolution.</t>
  </si>
  <si>
    <t>AQA.3.3.6.c</t>
  </si>
  <si>
    <t>Describe how a bitmap represents an image using pixels and colour depth.</t>
  </si>
  <si>
    <t>AQA.3.3.6.d</t>
  </si>
  <si>
    <t>Describe using examples how the number of pixels and colour depth can affect the file size of a bitmap image.</t>
  </si>
  <si>
    <t>AQA.3.3.6.e</t>
  </si>
  <si>
    <t>Calculate bitmap image file sizes based on the number of pixels and colour depth.</t>
  </si>
  <si>
    <t>AQA.3.3.6.f</t>
  </si>
  <si>
    <t>Convert binary data into a bitmap image.</t>
  </si>
  <si>
    <t>AQA.3.3.6.g</t>
  </si>
  <si>
    <t>Convert a bitmap image into binary data.</t>
  </si>
  <si>
    <t>AQA.3.3.7.a</t>
  </si>
  <si>
    <t>Representing sound</t>
  </si>
  <si>
    <t>Understand that sound is analogue and that it must be converted to a digital form for storage and processing in a computer.</t>
  </si>
  <si>
    <t>AQA.3.3.7.b</t>
  </si>
  <si>
    <t>Understand that sound waves are sampled to create the digital version of sound.</t>
  </si>
  <si>
    <t>AQA.3.3.7.c</t>
  </si>
  <si>
    <t>Describe the digital representation of sound in terms of:
- sampling rate
- sample resolution.</t>
  </si>
  <si>
    <t>AQA.3.3.7.d</t>
  </si>
  <si>
    <t>Calculate sound file sizes based on the sampling rate and the sample resolution.</t>
  </si>
  <si>
    <t>AQA.3.3.8.a</t>
  </si>
  <si>
    <t>Data compression</t>
  </si>
  <si>
    <t>Explain what data compression is.
Understand why data may be compressed and that there are different ways to compress data.</t>
  </si>
  <si>
    <t>AQA.3.3.8.b</t>
  </si>
  <si>
    <t>Explain how data can be compressed using
Huffman coding.
Be able to interpret Huffman trees.</t>
  </si>
  <si>
    <t>AQA.3.3.8.c</t>
  </si>
  <si>
    <t>Be able to calculate the number of bits required to store a piece of data compressed using Huffman coding.
Be able to calculate the number of bits required to store a piece of uncompressed data in ASCII.</t>
  </si>
  <si>
    <t>AQA.3.3.8.d</t>
  </si>
  <si>
    <t>Explain how data can be compressed using run length encoding (RLE).</t>
  </si>
  <si>
    <t>AQA.3.3.8.e</t>
  </si>
  <si>
    <t>Represent data in RLE frequency/data pairs.</t>
  </si>
  <si>
    <t>AQA.3.4.1.a</t>
  </si>
  <si>
    <t>3.4 - Computer systems</t>
  </si>
  <si>
    <t>Hardware and software</t>
  </si>
  <si>
    <t>Define the terms hardware and software and understand the relationship between them.</t>
  </si>
  <si>
    <t>AQA.3.4.2.a</t>
  </si>
  <si>
    <t>Construct truth tables for the following gates:
NOT
AND
OR
XOR.</t>
  </si>
  <si>
    <t>Computer Systems, Subroutines</t>
  </si>
  <si>
    <t>AQA.3.4.2.b</t>
  </si>
  <si>
    <t>Construct truth tables for simple logic circuits using combinations of NOT, AND, OR and XOR gates.
Interpret the results of simple truth tables.</t>
  </si>
  <si>
    <t>AQA.3.4.2.c</t>
  </si>
  <si>
    <t>Create, modify and interpret simple logic circuit diagrams.
Students will only need to use NOT, AND, OR and XOR gates within logic circuits.
Students will be expected to understand and use the following logic circuit symbols:
AND
NOT
OR
XOR</t>
  </si>
  <si>
    <t>AQA.3.4.2.d</t>
  </si>
  <si>
    <t>Create and interpret simple Boolean expressions made up of NOT, AND, OR and XOR operations.</t>
  </si>
  <si>
    <t>AQA.3.4.2.e</t>
  </si>
  <si>
    <t>Create the Boolean expression for a simple logic circuit.
Create a logic circuit from a simple Boolean expression.</t>
  </si>
  <si>
    <t>AQA.3.4.3.a</t>
  </si>
  <si>
    <t>Software classification</t>
  </si>
  <si>
    <t>Explain what is meant by:
system software
application software.
Give examples of both types of software.</t>
  </si>
  <si>
    <t>Animations</t>
  </si>
  <si>
    <t>AQA.3.4.3.b</t>
  </si>
  <si>
    <t>Understand the need for, and functions of, operating systems (OS) and utility programs.
Understand that the OS handles management of the:
processor(s)
memory
input/output I/O devices
applications
security</t>
  </si>
  <si>
    <t>AQA.3.4.4.a</t>
  </si>
  <si>
    <t>Classification of programming languages and translators</t>
  </si>
  <si>
    <t>Know that there are different levels of programming language:
- low-level language
- high-level language.
Explain the main differences between low-level and high-level languages.</t>
  </si>
  <si>
    <t>AQA.3.4.4.b</t>
  </si>
  <si>
    <t>Know that machine code and assembly language are considered to be low-level languages and explain the differences between them.</t>
  </si>
  <si>
    <t>AQA.3.4.4.c</t>
  </si>
  <si>
    <t>Understand that ultimately all programming code written in high-level or assembly languages must be translated
Understand that machine code is expressed in binary and is specific to a processor or family of processors.</t>
  </si>
  <si>
    <t>AQA.3.4.4.d</t>
  </si>
  <si>
    <t>Understand the advantages and disadvantages of low-level language programming compared with high-level language programming.</t>
  </si>
  <si>
    <t>AQA.3.4.4.e</t>
  </si>
  <si>
    <t>Understand that there are three common types of program translator:
-	interpreter
-	compiler
-	assembler.
Explain the main differences between these three types of translator.
Understand when it would be appropriate to use each type of translator.</t>
  </si>
  <si>
    <t>AQA.3.4.5.a</t>
  </si>
  <si>
    <t>Explain the role and operation of main memory and the following major components of a central processing unit (CPU):
- arithmetic logic unit
- control unit
- clock
- register
- bus.</t>
  </si>
  <si>
    <t>AQA.3.4.5.b</t>
  </si>
  <si>
    <t>Explain the effect of the following on the
performance of the CPU:
- clock speed
- number of processor cores
- cache size.</t>
  </si>
  <si>
    <t>AQA.3.4.5.c</t>
  </si>
  <si>
    <t>Understand and explain the Fetch-Execute cycle</t>
  </si>
  <si>
    <t>AQA.3.4.5.d</t>
  </si>
  <si>
    <t>Understand the different types of memory within a computer:
- RAM
- ROM
- Cache
- Register.
Know what the different types of memory are used for and why they are required.</t>
  </si>
  <si>
    <t>AQA.3.4.5.e</t>
  </si>
  <si>
    <t>Understand the differences between main
memory and secondary storage.
Understand the differences between RAM and ROM.</t>
  </si>
  <si>
    <t>AQA.3.4.5.f</t>
  </si>
  <si>
    <t>Understand why secondary storage is required</t>
  </si>
  <si>
    <t>AQA.3.4.5.g</t>
  </si>
  <si>
    <t>Be aware of different types of secondary storage (solid state, optical and magnetic).
Explain the operation of solid state, optical and magnetic storage.
Discuss the advantages and disadvantages of solid state, optical and magnetic storage.</t>
  </si>
  <si>
    <t>AQA.3.4.5.h</t>
  </si>
  <si>
    <t>Explain the term 'cloud storage'</t>
  </si>
  <si>
    <t>AQA.3.4.5.i</t>
  </si>
  <si>
    <t>Explain the advantages and disadvantages of cloud storage when compared to local storage.</t>
  </si>
  <si>
    <t>AQA.3.4.5.j</t>
  </si>
  <si>
    <t>Understand the term 'embedded system' and explain how an embedded system differs from a non-embedded system.</t>
  </si>
  <si>
    <t>AQA.3.5.1.a</t>
  </si>
  <si>
    <t>Define what a computer network is.
Discuss the advantages and disadvantages of computer
networks.</t>
  </si>
  <si>
    <t>Computer Systems, Networks</t>
  </si>
  <si>
    <t>AQA.3.5.1.b</t>
  </si>
  <si>
    <t>Describe the main types of computer network including:
- Personal Area Network (PAN)
- Local Area Network (LAN)
- Wide Area Network (WAN).</t>
  </si>
  <si>
    <t>AQA.3.5.1.c</t>
  </si>
  <si>
    <t>Understand that networks can be wired or
wireless.
Discuss the advantages and disadvantages of wireless networks as opposed to wired networks.</t>
  </si>
  <si>
    <t>AQA.3.5.1.d</t>
  </si>
  <si>
    <t>Explain the following common network topologies:
- star
- bus.</t>
  </si>
  <si>
    <t>AQA.3.5.1.e</t>
  </si>
  <si>
    <t>Define the term ‘network protocol’.</t>
  </si>
  <si>
    <t>AQA.3.5.1.f</t>
  </si>
  <si>
    <t>Explain the purpose and use of common network protocols including:
- Ethernet
- Wi-Fi
- TCP (Transmission Control Protocol)
- UDP (User Datagram Protocol)
- IP (Internet Protocol)
- HTTP (Hypertext Transfer Protocol)
- HTTPS (Hypertext Transfer Protocol Secure)
- FTP (File Transfer Protocol)
- email protocols:
 - SMTP (Simple Mail Transfer Protocol)
 - IMAP (Internet Message Access Protocol).</t>
  </si>
  <si>
    <t>AQA.3.5.1.g</t>
  </si>
  <si>
    <t>Understand the need for, and importance of, network security.</t>
  </si>
  <si>
    <t>Networks, Security</t>
  </si>
  <si>
    <t>AQA.3.5.1.h</t>
  </si>
  <si>
    <t>Explain the following methods of network security:
- authentication
- encryption
- firewall
- MAC address filtering.</t>
  </si>
  <si>
    <t>AQA.3.5.1.i</t>
  </si>
  <si>
    <t>Describe the 4 layer TCP/IP model:
- application layer
- transport layer
- internet layer
- link layer.
Understand that the HTTP, HTTPS, SMTP, IMAP and FTP protocols operate at the application layer.
Understand that the TCP and UDP protocols operate at the transport layer.
Understand that the IP protocol operates at the internet layer.</t>
  </si>
  <si>
    <t>AQA.3.6.1.a</t>
  </si>
  <si>
    <t>3.6 - Cyber security</t>
  </si>
  <si>
    <t>Fundamentals of cyber security</t>
  </si>
  <si>
    <t>Be able to define the term cyber security and be able to describe the main purposes of cyber security.</t>
  </si>
  <si>
    <t>AQA.3.6.2.1</t>
  </si>
  <si>
    <t>Cyber security threats</t>
  </si>
  <si>
    <t>Define the term social engineering.
Describe what social engineering is and how it can be protected against.
Explain the following forms of social engineering:
- blagging (pretexting)
- phishing
- shouldering (or shoulder surfing).</t>
  </si>
  <si>
    <t>Security</t>
  </si>
  <si>
    <t>AQA.3.6.2.2</t>
  </si>
  <si>
    <t>Define the term 'malware'.
Describe what malware is and how it can be protected against.
Describe the following forms of malware:
- computer virus
- trojan
- spyware.</t>
  </si>
  <si>
    <t>AQA.3.6.2.a</t>
  </si>
  <si>
    <t>Understand and be able to explain the following cyber security threats:
- social engineering techniques
- malicious code
- pharming
- weak and default passwords
- misconfigured access rights
- removable media
- unpatched and/or outdated software.</t>
  </si>
  <si>
    <t>AQA.3.6.2.b</t>
  </si>
  <si>
    <t>Explain what penetration testing is and what it is used for.</t>
  </si>
  <si>
    <t>AQA.3.6.3.a</t>
  </si>
  <si>
    <t>Methods to detect and prevent cyber security threats</t>
  </si>
  <si>
    <t>Understand and be able to explain the following security measures:
- biometric measures (particularly for mobile devices)
- password systems
- CAPTCHA (or similar)
- using email confirmations to confirm a user’s identity
- automatic software updates.</t>
  </si>
  <si>
    <t>AQA.3.7.1.a</t>
  </si>
  <si>
    <t>3.7 - Relational databases and structured query language (SQL)</t>
  </si>
  <si>
    <t>Relational databases</t>
  </si>
  <si>
    <t>Explain the concept of a database.</t>
  </si>
  <si>
    <t>AQA.3.7.1.b</t>
  </si>
  <si>
    <t>Explain the concept of a relational database.</t>
  </si>
  <si>
    <t>AQA.3.7.1.c</t>
  </si>
  <si>
    <t>Understand the following database concepts:
- table
- record
- field
- primary key
- foreign key.
Understand that the use of a relational database facilitates the elimination of data inconsistency and data redundancy.</t>
  </si>
  <si>
    <t>AQA.3.7.2.a</t>
  </si>
  <si>
    <t>Structured query language (SQL)</t>
  </si>
  <si>
    <t>Be able to use SQL to retrieve data from a relational database, using the commands:
 - SELECT
 - FROM
 - WHERE
 - ORDER BY…ASC | DESC</t>
  </si>
  <si>
    <t>AQA.3.7.2.b</t>
  </si>
  <si>
    <t>Be able to use SQL to insert data into a relational database using the commands.
 INSERT INTO table_name (column1, column 2 …)
 VALUES (value1, value2 …)</t>
  </si>
  <si>
    <t>Databases and SQL, Subroutines</t>
  </si>
  <si>
    <t>AQA.3.7.2.c</t>
  </si>
  <si>
    <t>Be able to use SQL to edit and delete data in a database using the commands.
 UPDATE table_name
 SET column1 = value1, column2 = value2 ...
 WHERE condition
 DELETE FROM table_name WHERE condition</t>
  </si>
  <si>
    <t>AQA.3.8.1.a</t>
  </si>
  <si>
    <t>Explain the current ethical, legal and environmental impacts and risks of digital technology on society. Where data privacy issues arise these should be considered.</t>
  </si>
  <si>
    <t>Impacts of technology, Security</t>
  </si>
  <si>
    <t>Edexcel.1.1.1</t>
  </si>
  <si>
    <t>1CP2/01</t>
  </si>
  <si>
    <t>1 - Computational thinking</t>
  </si>
  <si>
    <t>Decomposition and abstraction</t>
  </si>
  <si>
    <t>understand the benefit of using decomposition and abstraction to model aspects of the real world and analyse, understand and solve problems</t>
  </si>
  <si>
    <t>Edexcel.1.1.2</t>
  </si>
  <si>
    <t>understand the benefits of using subprograms</t>
  </si>
  <si>
    <t>Edexcel.1.2.1</t>
  </si>
  <si>
    <t>be able to follow and write algorithms (flowcharts, pseudocode*, program code) that use sequence, selection, repetition (count-controlled, condition-controlled) and iteration (over every item in a data structure), and input, processing and output to solve problems</t>
  </si>
  <si>
    <t>Algorithms 1, Dictionaries and datafiles</t>
  </si>
  <si>
    <t>Edexcel.1.2.2</t>
  </si>
  <si>
    <t>understand the need for and be able to follow and write algorithms that use variables and constants and one- and two-dimensional data structures (strings, records, arrays)</t>
  </si>
  <si>
    <t>Dictionaries and datafiles, Sequence, Strings and lists, Subroutines</t>
  </si>
  <si>
    <t>Edexcel.1.2.3</t>
  </si>
  <si>
    <t>understand the need for and be able to follow and write algorithms that use arithmetic operators (addition, subtraction, division, multiplication, modulus, integer division, exponentiation), relational operators (equal to, less than, greater than, not equal to, less than or equal to, greater than or equal to) and logical operators (AND, OR, NOT)</t>
  </si>
  <si>
    <t>Edexcel.1.2.4</t>
  </si>
  <si>
    <t>be able to determine the correct output of an algorithm for a given set of data and use a trace table to determine what value a variable will hold at a given point in an algorithm</t>
  </si>
  <si>
    <t>Algorithms 1, Iteration</t>
  </si>
  <si>
    <t>Edexcel.1.2.5</t>
  </si>
  <si>
    <t>understand types of errors that can occur in programs (syntax, logic, runtime) and be able to identify and correct logic errors in algorithms</t>
  </si>
  <si>
    <t>Edexcel.1.2.6</t>
  </si>
  <si>
    <t>understand how standard algorithms (bubble sort, merge sort, linear search, binary search) work</t>
  </si>
  <si>
    <t>Edexcel.1.2.7</t>
  </si>
  <si>
    <t>be able to use logical reasoning and test data to evaluate an algorithm’s fitness for purpose and efficiency (number of compares, number of passes through a loop, use of memory)</t>
  </si>
  <si>
    <t>Edexcel.1.3.1</t>
  </si>
  <si>
    <t>Truth tables</t>
  </si>
  <si>
    <t>be able to apply logical operators (AND, OR, NOT) in truth tables with up to three inputs to solve problems</t>
  </si>
  <si>
    <t>Edexcel.2.1.1</t>
  </si>
  <si>
    <t>2 - Data</t>
  </si>
  <si>
    <t>Binary</t>
  </si>
  <si>
    <t>understand that computers use binary to represent data (numbers, text, sound, graphics) and program instructions and be able to determine the maximum number of states that can be represented by a binary pattern of a given length</t>
  </si>
  <si>
    <t>Edexcel.2.1.2</t>
  </si>
  <si>
    <t>understand how computers represent and manipulate unsigned integers and two’s complement signed integers</t>
  </si>
  <si>
    <t>Edexcel.2.1.3</t>
  </si>
  <si>
    <t>be able to convert between denary and 8-bit binary numbers (0 – 255, -127 – 128)</t>
  </si>
  <si>
    <t>Edexcel.2.1.4</t>
  </si>
  <si>
    <t>be able to add together two positive binary patterns and apply logical and arithmetic binary shifts</t>
  </si>
  <si>
    <t>Edexcel.2.1.5</t>
  </si>
  <si>
    <t>understand the concept of overflow in relation to the number of bits available to store a value</t>
  </si>
  <si>
    <t>Edexcel.2.1.6</t>
  </si>
  <si>
    <t>understand why hexadecimal notation is used and be able to convert between hexadecimal and binary</t>
  </si>
  <si>
    <t>Edexcel.2.2.1</t>
  </si>
  <si>
    <t>Data representation</t>
  </si>
  <si>
    <t>understand how computers encode characters using 7-bit ASCII</t>
  </si>
  <si>
    <t>Edexcel.2.2.2</t>
  </si>
  <si>
    <t>understand how bitmap images are represented in binary (pixels, resolution, colour depth)</t>
  </si>
  <si>
    <t>Edexcel.2.2.3</t>
  </si>
  <si>
    <t>understand how analogue sound is represented in binary (amplitude, sample rate, bit depth, sample interval)</t>
  </si>
  <si>
    <t>Edexcel.2.2.4</t>
  </si>
  <si>
    <t>understand the limitations of binary representation of data when constrained by the number of available bits</t>
  </si>
  <si>
    <t>Edexcel.2.3.1</t>
  </si>
  <si>
    <t>Data storage and compression</t>
  </si>
  <si>
    <t>understand that data storage is measured in binary multiples (bit, nibble, byte, kibibyte, mebibyte, gibibyte, tebibyte) and be able to construct expressions to calculate file sizes and data capacity requirements</t>
  </si>
  <si>
    <t>Edexcel.2.3.2</t>
  </si>
  <si>
    <t>understand the need for data compression and methods of compressing data (lossless, lossy)</t>
  </si>
  <si>
    <t>Edexcel.3.1.1</t>
  </si>
  <si>
    <t>3 - Computers</t>
  </si>
  <si>
    <t>understand the von Neumann stored program concept and the role of main memory (RAM), CPU (control unit, arithmetic logic unit, registers), clock, address bus, data bus, control bus in the fetch-decode-execute cycle</t>
  </si>
  <si>
    <t>Edexcel.3.1.2</t>
  </si>
  <si>
    <t>understand the role of secondary storage and the ways in which data is stored on devices (magnetic, optical, solid state)</t>
  </si>
  <si>
    <t>Edexcel.3.1.3</t>
  </si>
  <si>
    <t>understand the concept of an embedded system and what embedded systems are used for</t>
  </si>
  <si>
    <t>Edexcel.3.2.1</t>
  </si>
  <si>
    <t>Software</t>
  </si>
  <si>
    <t>understand the purpose and functionality of an operating system (file management, process management, peripheral management, user management)</t>
  </si>
  <si>
    <t>Edexcel.3.2.2</t>
  </si>
  <si>
    <t>understand the purpose and functionality of utility software (file repair, backup, data compression, disc defragmentation, anti-malware)</t>
  </si>
  <si>
    <t>Edexcel.3.2.3</t>
  </si>
  <si>
    <t>understand the importance of developing robust software and methods of identifying vulnerabilities (audit trails, code reviews)</t>
  </si>
  <si>
    <t>Edexcel.3.3.1</t>
  </si>
  <si>
    <t>Programming languages</t>
  </si>
  <si>
    <t>understand the characteristics and purposes of low-level and high-level programming languages</t>
  </si>
  <si>
    <t>Edexcel.3.3.2</t>
  </si>
  <si>
    <t>understand how an interpreter differs from a compiler in the way it translates high-level code into machine code</t>
  </si>
  <si>
    <t>Online Safety, Sequence</t>
  </si>
  <si>
    <t>Edexcel.4.1.1</t>
  </si>
  <si>
    <t>4 - Networks</t>
  </si>
  <si>
    <t>understand why computers are connected in a network</t>
  </si>
  <si>
    <t>Edexcel.4.1.2</t>
  </si>
  <si>
    <t>understand different types of networks (LAN, WAN)</t>
  </si>
  <si>
    <t>Edexcel.4.1.3</t>
  </si>
  <si>
    <t>understand how the internet is structured (IP addressing, routers)</t>
  </si>
  <si>
    <t>Edexcel.4.1.4</t>
  </si>
  <si>
    <t>understand how the characteristics of wired and wireless connectivity impact on performance (speed, range, latency, bandwidth)</t>
  </si>
  <si>
    <t>Edexcel.4.1.5</t>
  </si>
  <si>
    <t>understand that network speeds are measured in bits per second (kilobit, megabit, gigabit) and be able to construct expressions involving file size, transmission rate and time</t>
  </si>
  <si>
    <t>Edexcel.4.1.6</t>
  </si>
  <si>
    <t>understand the role of and need for network protocols (Ethernet, Wi-Fi, TCP/IP, HTTP, HTTPS, FTP and email protocols (POP3, SMTP, IMAP))</t>
  </si>
  <si>
    <t>Edexcel.4.1.7</t>
  </si>
  <si>
    <t>understand how the 4-layer (application, transport, internet, link) TCP/IP model handles data transmission over a network</t>
  </si>
  <si>
    <t>Edexcel.4.1.8</t>
  </si>
  <si>
    <t>understand characteristics of network topologies (bus, star, mesh)</t>
  </si>
  <si>
    <t>Edexcel.4.2.1</t>
  </si>
  <si>
    <t>understand the importance of network security, ways of identifying network vulnerabilities (penetration testing, ethical hacking) and methods of protecting networks (access control, physical security, firewalls)</t>
  </si>
  <si>
    <t>Edexcel.5.1.1</t>
  </si>
  <si>
    <t>5 - Issues and impact</t>
  </si>
  <si>
    <t>Environmental</t>
  </si>
  <si>
    <t>understand environmental issues associated with the use of digital devices (energy consumption, manufacture, replacement cycle, disposal)</t>
  </si>
  <si>
    <t>Edexcel.5.2.1</t>
  </si>
  <si>
    <t>Ethical and legal</t>
  </si>
  <si>
    <t>understand ethical and legal issues associated with the collection and use of personal data (privacy, ownership, consent, misuse, data protection)</t>
  </si>
  <si>
    <t>Edexcel.5.2.2</t>
  </si>
  <si>
    <t>understand ethical and legal issues associated with the use of artificial intelligence, machine learning and robotics (accountability, safety, algorithmic bias, legal liability)</t>
  </si>
  <si>
    <t>Edexcel.5.2.3</t>
  </si>
  <si>
    <t>understand methods of intellectual property protection for computer systems and software (copyright, patents, trademarks, licencing)</t>
  </si>
  <si>
    <t>Edexcel.5.3.1</t>
  </si>
  <si>
    <t>Cybersecurity</t>
  </si>
  <si>
    <t>understand the threat to digital systems posed by malware (viruses, worms, Trojans, ransomware, key loggers) and how hackers exploit technical vulnerabilities (unpatched software, out-of-date anti-malware) and use social engineering to carry out cyberattacks</t>
  </si>
  <si>
    <t>Edexcel.5.3.2</t>
  </si>
  <si>
    <t>understand methods of protecting digital systems and data (anti-malware, encryption, acceptable use policies, backup and recovery procedures)</t>
  </si>
  <si>
    <t>Edexcel.6.1.1</t>
  </si>
  <si>
    <t>1CP2/02</t>
  </si>
  <si>
    <t>6 - Problem solving with programming</t>
  </si>
  <si>
    <t>Develop code</t>
  </si>
  <si>
    <t>be able to use decomposition and abstraction to analyse, understand and solve problems</t>
  </si>
  <si>
    <t>Edexcel.6.1.2</t>
  </si>
  <si>
    <t>be able to read, write, analyse and refine programs written in a high-level programming language</t>
  </si>
  <si>
    <t>Dictionaries and datafiles, Subroutines</t>
  </si>
  <si>
    <t>Edexcel.6.1.3</t>
  </si>
  <si>
    <t>be able to convert algorithms (flowcharts, pseudocode) into programs and convert programs</t>
  </si>
  <si>
    <t>Iteration, Selection, Sequence</t>
  </si>
  <si>
    <t>Edexcel.6.1.4</t>
  </si>
  <si>
    <t>be able to use techniques (layout, indentation, comments, meaningful identifiers, white space) to make programs easier to read, understand and maintain</t>
  </si>
  <si>
    <t>Edexcel.6.1.5</t>
  </si>
  <si>
    <t>be able to identify, locate and correct program errors (logic, syntax, runtime)</t>
  </si>
  <si>
    <t>Edexcel.6.1.6</t>
  </si>
  <si>
    <t>be able to use logical reasoning and test data to evaluate a program’s fitness for purpose and efficiency (number of compares, number of passes through a loop, use of memory)</t>
  </si>
  <si>
    <t>Edexcel.6.2.1</t>
  </si>
  <si>
    <t>Constructs</t>
  </si>
  <si>
    <t>understand the function of and be able to identify the structural components of programs (constants, variables, initialisation and assignment statements, command sequences, selection, repetition, iteration, data structures, subprograms, parameters, input/output)</t>
  </si>
  <si>
    <t>Edexcel.6.2.2</t>
  </si>
  <si>
    <t>be able to write programs that make appropriate use of sequencing, selection, repetition (count-controlled, condition controlled), iteration (over every item in a data structure) and single entry/exit points from code blocks and subprograms</t>
  </si>
  <si>
    <t>Iteration, Selection, Subroutines</t>
  </si>
  <si>
    <t>Edexcel.6.3.1</t>
  </si>
  <si>
    <t>Data types and structures</t>
  </si>
  <si>
    <t>be able to write programs that make appropriate use of primitive data types (integer, real, Boolean, char) and one- and two-dimensional structured data types (string, array, record)</t>
  </si>
  <si>
    <t>Sequence, Strings and lists</t>
  </si>
  <si>
    <t>Edexcel.6.3.2</t>
  </si>
  <si>
    <t>be able to write programs that make appropriate use of variables and constants</t>
  </si>
  <si>
    <t>Sequence, Subroutines</t>
  </si>
  <si>
    <t>Edexcel.6.3.3</t>
  </si>
  <si>
    <t>be able to write programs that manipulate strings (length, position, substrings, case conversion)</t>
  </si>
  <si>
    <t>Edexcel.6.4.1</t>
  </si>
  <si>
    <t>Input/output</t>
  </si>
  <si>
    <t>be able to write programs that accept and respond appropriately to user input</t>
  </si>
  <si>
    <t>Selection, Sequence</t>
  </si>
  <si>
    <t>Edexcel.6.4.2</t>
  </si>
  <si>
    <t>be able to write programs that read from and write to comma separated value text files</t>
  </si>
  <si>
    <t>Dictionaries and datafiles, Flat-file databases</t>
  </si>
  <si>
    <t>Edexcel.6.4.3</t>
  </si>
  <si>
    <t>understand the need for and be able to write programs that implement validation (length check, presence check, range check, pattern check)</t>
  </si>
  <si>
    <t>Edexcel.6.4.4</t>
  </si>
  <si>
    <t>understand the need for and be able to write programs that implement authentication (ID and password, lookup)</t>
  </si>
  <si>
    <t>Edexcel.6.5.1</t>
  </si>
  <si>
    <t>Operators</t>
  </si>
  <si>
    <t>be able to write programs that use arithmetic operators (addition, subtraction, division, multiplication, modulus, integer division, exponentiation)</t>
  </si>
  <si>
    <t>Edexcel.6.5.2</t>
  </si>
  <si>
    <t>be able to write programs that use relational operators (equal to, less than, greater than, not equal to, less than or equal to, greater than or equal to)</t>
  </si>
  <si>
    <t>Edexcel.6.5.3</t>
  </si>
  <si>
    <t>be able to write programs that use logical operators (AND, OR, NOT)</t>
  </si>
  <si>
    <t>Edexcel.6.6.1</t>
  </si>
  <si>
    <t>Subprograms</t>
  </si>
  <si>
    <t>be able to write programs that use pre-existing (built-in, library) and user-devised subprograms (procedures, functions)</t>
  </si>
  <si>
    <t>Selection, Strings and lists, Subroutines</t>
  </si>
  <si>
    <t>Edexcel.6.6.2</t>
  </si>
  <si>
    <t>be able to write functions that may or may not take parameters but must return values, and procedures that may or may not take parameters but do not return values</t>
  </si>
  <si>
    <t>Edexcel.6.6.3</t>
  </si>
  <si>
    <t>understand the difference between and be able to write programs that make appropriate use of global and local variables</t>
  </si>
  <si>
    <t>Eduquas.1.1.1.a</t>
  </si>
  <si>
    <t>Component 1</t>
  </si>
  <si>
    <t>1.1 - Hardware</t>
  </si>
  <si>
    <t>Central processing unit (CPU)</t>
  </si>
  <si>
    <t>the purpose of the CPU</t>
  </si>
  <si>
    <t>Eduquas.1.1.1.b</t>
  </si>
  <si>
    <t>the purpose of different components in the Von Neumann CPU architecture, including:
- control unit (CU)
- arithmetic and logic unit (ALU)
- main memory
- cache
- registers
- program counter (PC)
- current instruction register (CIR)
- accumulator (ACC)
- memory address register (MAR)
- memory data register (MDR)</t>
  </si>
  <si>
    <t>Eduquas.1.1.1.c</t>
  </si>
  <si>
    <t>input and output devices.</t>
  </si>
  <si>
    <t>Physical Computing Project</t>
  </si>
  <si>
    <t>Eduquas.1.1.1.d</t>
  </si>
  <si>
    <t>the role of the components of the CPU in the fetch-decodeexecute cycle</t>
  </si>
  <si>
    <t>Eduquas.1.1.1.e</t>
  </si>
  <si>
    <t>CPU performance in relation to:
- cache size and levels of cache
- clock speed
- number of cores.</t>
  </si>
  <si>
    <t>Eduquas.1.1.2.a</t>
  </si>
  <si>
    <t>Primary storage</t>
  </si>
  <si>
    <t>the use and characteristics of primary storage, including:
- random access memory (RAM)
- read only memory (ROM)
- flash memory
- cache memory
- virtual memory.</t>
  </si>
  <si>
    <t>Eduquas.1.1.3.a</t>
  </si>
  <si>
    <t>Additional hardware components</t>
  </si>
  <si>
    <t>the role of additional hardware, including:
- integrated and dedicated GPUs
- sound cards
- motherboards.</t>
  </si>
  <si>
    <t>Eduquas.1.1.4.a</t>
  </si>
  <si>
    <t>Secondary storage</t>
  </si>
  <si>
    <t>the functional characteristics of contemporary secondary storage technologies, including:
- optical
- magnetic
- solid state
- cloud storage</t>
  </si>
  <si>
    <t>Eduquas.1.1.4.b</t>
  </si>
  <si>
    <t>the suitability and characteristics of contemporary secondary storage media in terms of:
- capacity
- durability
- portability
- speed
- cost.</t>
  </si>
  <si>
    <t>Eduquas.1.1.5.a</t>
  </si>
  <si>
    <t>Embedded systems</t>
  </si>
  <si>
    <t>the characteristics and purpose of embedded systems</t>
  </si>
  <si>
    <t>Eduquas.1.1.5.b</t>
  </si>
  <si>
    <t>example uses of embedded systems.</t>
  </si>
  <si>
    <t>Eduquas.1.10.1.a</t>
  </si>
  <si>
    <t>1.10 - Program construction</t>
  </si>
  <si>
    <t>Translators</t>
  </si>
  <si>
    <t>the purpose of the three common types of program translator:
- compilers
- interpreters
- assemblers</t>
  </si>
  <si>
    <t>Eduquas.1.10.1.b</t>
  </si>
  <si>
    <t>the appropriate use of the three common types of program translator</t>
  </si>
  <si>
    <t>Eduquas.1.10.1.c</t>
  </si>
  <si>
    <t>the principal stages involved in the compilation process:
- lexical analysis
- syntax analysis
- semantic analysis
- code generation
- code optimisation</t>
  </si>
  <si>
    <t>Eduquas.1.10.1.d</t>
  </si>
  <si>
    <t>examples of programming errors:
- logical
- syntactical
- run-time/execution
- linking
- rounding
- truncation</t>
  </si>
  <si>
    <t>Eduquas.1.11.1.a</t>
  </si>
  <si>
    <t>Component 2</t>
  </si>
  <si>
    <t>1.11 - Impacts of digital technology on wider society</t>
  </si>
  <si>
    <t>Impacts</t>
  </si>
  <si>
    <t>The ethical, legal, cultural, environmental and privacy issues linked to the use of computer systems.</t>
  </si>
  <si>
    <t>Eduquas.1.11.2.a</t>
  </si>
  <si>
    <t>Legislation</t>
  </si>
  <si>
    <t>the impact of relevant current legislation on Computer Science, including:
- the General Data Protection Regulation (GDPR) and Data Protection Act 2018
- Computer Misuse Act 1990
- Copyright Designs and Patents Act 1988
- Creative Commons Licensing
- Regulation of Investigatory Powers Act 2000
- Telecommunications Regulations Act 2000
- Freedom of Information Act 2000.</t>
  </si>
  <si>
    <t>Eduquas.1.11.3.a</t>
  </si>
  <si>
    <t>Professional standards</t>
  </si>
  <si>
    <t>The importance of conforming to professional standards, including formal and informal codes of ethical behaviour and conduct.</t>
  </si>
  <si>
    <t>Eduquas.1.2.1.a</t>
  </si>
  <si>
    <t>1.2 - Logical Operators</t>
  </si>
  <si>
    <t>the use of logical operators in truth tables and to solve problems, including:
- AND
- OR
- NOT
- XOR.</t>
  </si>
  <si>
    <t>Eduquas.1.2.2.a</t>
  </si>
  <si>
    <t>The simplification of Boolean expressions using Boolean identities and rules</t>
  </si>
  <si>
    <t>Eduquas.1.3.1.a</t>
  </si>
  <si>
    <t>1.3 - Networking and cybersecurity</t>
  </si>
  <si>
    <t>the characteristics of networks, and their advantages and disadvantages</t>
  </si>
  <si>
    <t>Eduquas.1.3.1.b</t>
  </si>
  <si>
    <t>common network topologies, including star and mesh, and their advantages and disadvantages over ring and bus topologies</t>
  </si>
  <si>
    <t>Eduquas.1.3.1.c</t>
  </si>
  <si>
    <t>the hardware required to establish wired and wireless connectivity, including:
- routers
- hubs
- switches
- bridges
- wireless access points (WAPs)
- network interface cards (NICs)</t>
  </si>
  <si>
    <t>Eduquas.1.3.1.d</t>
  </si>
  <si>
    <t>the importance of creating networking standards</t>
  </si>
  <si>
    <t>Eduquas.1.3.1.e</t>
  </si>
  <si>
    <t>the purpose of each layer in the 7-layer Open Systems Interconnection model (OSI model)</t>
  </si>
  <si>
    <t>Eduquas.1.3.1.f</t>
  </si>
  <si>
    <t>the use of contemporary networking protocols in the 7-layer OSI model, including:
- HTTP
- HTTPS
- SMTP
- FTP
- TCP
- IP
- Ethernet
- WiFi (802.11)</t>
  </si>
  <si>
    <t>Eduquas.1.3.1.g</t>
  </si>
  <si>
    <t>the typical contents of a TCP/IP packet and packet switching</t>
  </si>
  <si>
    <t>Eduquas.1.3.1.h</t>
  </si>
  <si>
    <t>methods of routing traffic on a network and calculation of routing costs.</t>
  </si>
  <si>
    <t>Eduquas.1.3.2.a</t>
  </si>
  <si>
    <t>Internet</t>
  </si>
  <si>
    <t>the purpose of Domain Name System (DNS) servers and how they work</t>
  </si>
  <si>
    <t>Eduquas.1.3.2.b</t>
  </si>
  <si>
    <t>the structure of URLs and the role and function of a web browser.</t>
  </si>
  <si>
    <t>Eduquas.1.3.3.a</t>
  </si>
  <si>
    <t>the characteristics of different threats to computer systems, including:
- malware
- phishing
- social engineering
- brute force attacks
- denial of service attacks
- data interception and theft
- SQL injection</t>
  </si>
  <si>
    <t>Eduquas.1.3.3.b</t>
  </si>
  <si>
    <t>different ways of protecting against threats during system design, creation, testing and use, including:
- penetration testing
- network forensics
- anti-malware software
- firewalls
- user access levels
- passwords
- double authentication
- encryption.</t>
  </si>
  <si>
    <t>Eduquas.1.4.1.a</t>
  </si>
  <si>
    <t>1.4 - Data representation and storage</t>
  </si>
  <si>
    <t>data types, including:
- integer
- real
- character
- string
- Boolean.</t>
  </si>
  <si>
    <t>Eduquas.1.4.2.a</t>
  </si>
  <si>
    <t>Representation of numbers</t>
  </si>
  <si>
    <t>use and convert between denary, binary and hexadecimal counting systems</t>
  </si>
  <si>
    <t>Eduquas.1.4.2.b</t>
  </si>
  <si>
    <t>the representation of positive and negative integers in a fixed-length store using both two’s complement, and sign and magnitude representation</t>
  </si>
  <si>
    <t>Eduquas.1.4.2.c</t>
  </si>
  <si>
    <t>binary addition and subtraction techniques</t>
  </si>
  <si>
    <t>Eduquas.1.4.2.d</t>
  </si>
  <si>
    <t>the concept of overflow and underflow</t>
  </si>
  <si>
    <t>Eduquas.1.4.2.e</t>
  </si>
  <si>
    <t>arithmetic shift functions and their effect.</t>
  </si>
  <si>
    <t>Eduquas.1.4.3.a</t>
  </si>
  <si>
    <t>Representation of characters</t>
  </si>
  <si>
    <t>the digital storage of characters</t>
  </si>
  <si>
    <t>Eduquas.1.4.3.b</t>
  </si>
  <si>
    <t>standardised character sets, including:
- Unicode
- American Standard Code for Information Interchange (ASCII).</t>
  </si>
  <si>
    <t>Eduquas.1.4.4.a</t>
  </si>
  <si>
    <t>Representation of graphics</t>
  </si>
  <si>
    <t>the digital storage of graphics</t>
  </si>
  <si>
    <t>Eduquas.1.4.4.b</t>
  </si>
  <si>
    <t>the effect of different resolutions and colour depths on the quality of graphics</t>
  </si>
  <si>
    <t>Eduquas.1.4.4.c</t>
  </si>
  <si>
    <t>how to calculate the storage requirements for graphics using different dimensions and colour depths.</t>
  </si>
  <si>
    <t>Eduquas.1.4.5.a</t>
  </si>
  <si>
    <t>Representation of sound</t>
  </si>
  <si>
    <t>the digital storage of sound</t>
  </si>
  <si>
    <t>Eduquas.1.4.5.b</t>
  </si>
  <si>
    <t>the effect of different sampling rates on the quality of sound</t>
  </si>
  <si>
    <t>Eduquas.1.4.5.c</t>
  </si>
  <si>
    <t>how to calculate the storage requirements for sound using different sampling rates.</t>
  </si>
  <si>
    <t>Eduquas.1.4.6.a</t>
  </si>
  <si>
    <t>Storage requirements</t>
  </si>
  <si>
    <t>the relationship between data storage units using the Base 2 prefixes, including:
- bit
- nibble
- byte
- kilobyte (i.e. 1,024 bytes)
- megabyte (i.e. 1,024 kilobytes)
- gigabyte (i.e. 1,024 megabytes)
- terabyte (i.e. 1,024 gigabytes)
- petabyte (i.e. 1,024 terabytes)</t>
  </si>
  <si>
    <t>Eduquas.1.4.6.b</t>
  </si>
  <si>
    <t>the calculation of data capacity requirements.</t>
  </si>
  <si>
    <t>Eduquas.1.4.7.a</t>
  </si>
  <si>
    <t>Compression</t>
  </si>
  <si>
    <t>the principles of data compression and the use of different compression types, including:
- lossy
- lossless</t>
  </si>
  <si>
    <t>Eduquas.1.4.7.b</t>
  </si>
  <si>
    <t>the calculation of compression ratios.</t>
  </si>
  <si>
    <t>Eduquas.1.5.1.a</t>
  </si>
  <si>
    <t>1.5 - Data organisation</t>
  </si>
  <si>
    <t>Data structures</t>
  </si>
  <si>
    <t>the design, interpretation and manipulation of data structures including:
- records
- one-dimensional arrays
- two-dimensional arrays</t>
  </si>
  <si>
    <t>Eduquas.1.5.1.b</t>
  </si>
  <si>
    <t>the selection, identification and justification of appropriate data structures for different situations.</t>
  </si>
  <si>
    <t>Eduquas.1.5.2.a</t>
  </si>
  <si>
    <t>File design</t>
  </si>
  <si>
    <t>The design of files and records appropriate for a particular application.</t>
  </si>
  <si>
    <t>Eduquas.1.6.1.a</t>
  </si>
  <si>
    <t>1.6 - Operating systems</t>
  </si>
  <si>
    <t>The purpose of the operating system.</t>
  </si>
  <si>
    <t>Eduquas.1.6.1.b</t>
  </si>
  <si>
    <t>how the operating system manages:
- CPU
- multi-tasking
- interrupts
- memory
- backing store
- peripherals
- interface
- security.</t>
  </si>
  <si>
    <t>Eduquas.1.6.2.a</t>
  </si>
  <si>
    <t>Utility software</t>
  </si>
  <si>
    <t>the purpose and functionality of a range of utility software, including:
- anti-virus
- clipboard manager
- system profiles
- backup software
- disk checkers
- disk compression
- disk defragmenters
- disk formatters
- disk partition editors
- archivers
- cryptographic utilities
- data recovery
- revision control
- file managers.</t>
  </si>
  <si>
    <t>Eduquas.1.7.1.a</t>
  </si>
  <si>
    <t>1.7 - Principles of programming</t>
  </si>
  <si>
    <t>Levels of computer language</t>
  </si>
  <si>
    <t>the characteristics and purpose of high-level and low-level languages</t>
  </si>
  <si>
    <t>Eduquas.1.7.1.b</t>
  </si>
  <si>
    <t>situations that require the use of a high-level or a low-level language.</t>
  </si>
  <si>
    <t>Eduquas.1.8.1.a</t>
  </si>
  <si>
    <t>1.8 - Algorithms and constructs</t>
  </si>
  <si>
    <t>methods of defining algorithms, including pseudo-code and flowcharts</t>
  </si>
  <si>
    <t>Algorithms 1, Iteration, Selection, Sequence</t>
  </si>
  <si>
    <t>Eduquas.1.8.1.b</t>
  </si>
  <si>
    <t>writing, correcting, testing and interpreting the function of algorithms that solve problems using:
- subroutines
- input
- output
- sequence, selection and iteration
- counts and rogue values
- local and global variables
- self-documenting identifiers
- string handling
- mathematical and logical operations</t>
  </si>
  <si>
    <t>Eduquas.1.8.2.a</t>
  </si>
  <si>
    <t>Sorting</t>
  </si>
  <si>
    <t>the characteristics of sort algorithms, including:
- merge sort
- bubble sort.</t>
  </si>
  <si>
    <t>Eduquas.1.8.3.a</t>
  </si>
  <si>
    <t>Searching</t>
  </si>
  <si>
    <t>the characteristics of search algorithms, including:
- linear search
- binary search.</t>
  </si>
  <si>
    <t>Eduquas.1.8.4.a</t>
  </si>
  <si>
    <t>Validation and verification</t>
  </si>
  <si>
    <t>the purpose of and techniques for data validation and verification</t>
  </si>
  <si>
    <t>Eduquas.1.8.4.b</t>
  </si>
  <si>
    <t>algorithms that validate and verify data</t>
  </si>
  <si>
    <t>Eduquas.1.9.1.a</t>
  </si>
  <si>
    <t>1.9 - Software development</t>
  </si>
  <si>
    <t>Software tools</t>
  </si>
  <si>
    <t>Integrated Development Environment (IDE) tools, including:
- editor
- automatic formatting
- automatic line numbering
- automatic colour coding
- linker
- libraries
- routines/subroutines
- standard functions
- loader
- debugger
- syntax error detection
- error diagnostics
- trace
- break point
- variable watch
- memory inspector
- statement completion
- code optimisation
- compilation and interpretation of code</t>
  </si>
  <si>
    <t>Eduquas.2.1.1.a</t>
  </si>
  <si>
    <t>2.1 - Systems Analysis</t>
  </si>
  <si>
    <t>Investigation</t>
  </si>
  <si>
    <t>use a systematic approach to problem solving including the use of decomposition and abstraction</t>
  </si>
  <si>
    <t>Eduquas.2.1.1.b</t>
  </si>
  <si>
    <t>use abstraction effectively to model selected aspects of the external world in an algorithm or program</t>
  </si>
  <si>
    <t>Eduquas.2.1.1.c</t>
  </si>
  <si>
    <t>use abstraction effectively to appropriately structure programs into modular parts with clear, well-documented interfaces</t>
  </si>
  <si>
    <t>Eduquas.2.1.1.d</t>
  </si>
  <si>
    <t>analyse a set of requirements</t>
  </si>
  <si>
    <t>Eduquas.2.1.1.e</t>
  </si>
  <si>
    <t>program a solution that meets a set of requirements.</t>
  </si>
  <si>
    <t>Eduquas.2.1.2.a</t>
  </si>
  <si>
    <t>Design</t>
  </si>
  <si>
    <t>design and document the input and output facilities required to produce an effective user interface</t>
  </si>
  <si>
    <t>Eduquas.2.1.2.b</t>
  </si>
  <si>
    <t>design and document all required data structures</t>
  </si>
  <si>
    <t>Eduquas.2.1.2.c</t>
  </si>
  <si>
    <t>using pseudo code, design and document the following routines:
- validation and verification
- data handling and processing
- authentication.</t>
  </si>
  <si>
    <t>Eduquas.2.1.3.a</t>
  </si>
  <si>
    <t>Implementation</t>
  </si>
  <si>
    <t>create new and extend existing functions or methods</t>
  </si>
  <si>
    <t>Selection, Sequence, Strings and lists, Subroutines</t>
  </si>
  <si>
    <t>Eduquas.2.1.3.b</t>
  </si>
  <si>
    <t>create new and edit existing objects</t>
  </si>
  <si>
    <t>Eduquas.2.1.3.c</t>
  </si>
  <si>
    <t>create new and extend existing Python 3 libraries</t>
  </si>
  <si>
    <t>Selection, Strings and lists</t>
  </si>
  <si>
    <t>Eduquas.2.1.3.d</t>
  </si>
  <si>
    <t>use variables (labels), operators, inputs, outputs and assignment</t>
  </si>
  <si>
    <t>Eduquas.2.1.3.e</t>
  </si>
  <si>
    <t>use a variety of data types, including integer, Boolean, real, character and string</t>
  </si>
  <si>
    <t>Eduquas.2.1.3.f</t>
  </si>
  <si>
    <t>use programming constructs to control the flow of a program, including:
- iteration (condition and counter controlled loops)
- selection
- sequence</t>
  </si>
  <si>
    <t>Iteration, Programming I, Selection, Sequence</t>
  </si>
  <si>
    <t>Eduquas.2.1.3.g</t>
  </si>
  <si>
    <t>use basic file handling, including:
- open a file
- read from a file into a variable
- read from a file into an array
- write to a file
- write to a file from an array
- close a file</t>
  </si>
  <si>
    <t>Eduquas.2.1.3.h</t>
  </si>
  <si>
    <t>create new and extend data structures and fixed length records to store data</t>
  </si>
  <si>
    <t>Eduquas.2.1.3.i</t>
  </si>
  <si>
    <t>use string manipulation</t>
  </si>
  <si>
    <t>Eduquas.2.1.3.j</t>
  </si>
  <si>
    <t>create new and extend lists, tuples and dictionaries (arrays)</t>
  </si>
  <si>
    <t>Eduquas.2.1.3.k</t>
  </si>
  <si>
    <t>use slicing</t>
  </si>
  <si>
    <t>Eduquas.2.1.3.l</t>
  </si>
  <si>
    <t>use mathematical and logical operations</t>
  </si>
  <si>
    <t>Eduquas.2.1.3.m</t>
  </si>
  <si>
    <t>create new and modify existing intuitive graphical user interfaces using the Python 3 built in libraries including:
- text boxes
- buttons
- forms</t>
  </si>
  <si>
    <t>Eduquas.2.1.3.n</t>
  </si>
  <si>
    <t>create and modify data validation and verification routines</t>
  </si>
  <si>
    <t>Eduquas.2.1.3.o</t>
  </si>
  <si>
    <t>create and modify authentication management routines</t>
  </si>
  <si>
    <t>Eduquas.2.1.3.p</t>
  </si>
  <si>
    <t>create code for the solution that is self-documenting and uses meaningful identifiers</t>
  </si>
  <si>
    <t>Dictionaries and datafiles, Sequence</t>
  </si>
  <si>
    <t>Eduquas.2.1.3.q</t>
  </si>
  <si>
    <t>use a programming style that is consistent, including indentation and appropriate use of white space</t>
  </si>
  <si>
    <t>Eduquas.2.1.3.r</t>
  </si>
  <si>
    <t>use subroutines with well-defined interfaces</t>
  </si>
  <si>
    <t>Eduquas.2.1.3.s</t>
  </si>
  <si>
    <t>annotate code so that it is accessible to a competent third party</t>
  </si>
  <si>
    <t>Eduquas.2.1.3.t</t>
  </si>
  <si>
    <t>explain the solution or changes made to a solution.</t>
  </si>
  <si>
    <t>Eduquas.2.1.4.a</t>
  </si>
  <si>
    <t>Testing</t>
  </si>
  <si>
    <t>design and document an effective testing strategy that will ensure that the final solution meets the requirements</t>
  </si>
  <si>
    <t>Eduquas.2.1.4.b</t>
  </si>
  <si>
    <t>describe how the outcomes of the testing process can be used to inform further development of the solution</t>
  </si>
  <si>
    <t>Eduquas.2.1.4.c</t>
  </si>
  <si>
    <t>design test data to include examples of typical, extreme and erroneous content</t>
  </si>
  <si>
    <t>Eduquas.2.1.4.d</t>
  </si>
  <si>
    <t>implement a test plan using typical, extreme and erroneous data where appropriate</t>
  </si>
  <si>
    <t>Eduquas.2.1.4.e</t>
  </si>
  <si>
    <t>present test outcomes with detailed and informed commentaries</t>
  </si>
  <si>
    <t>Eduquas.2.1.4.f</t>
  </si>
  <si>
    <t>demonstrate testing and refinement of code during development or in response to change in the requirements provided</t>
  </si>
  <si>
    <t>Eduquas.2.1.4.g</t>
  </si>
  <si>
    <t>explain the outcome of testing using given data or data that the candidate has designed.</t>
  </si>
  <si>
    <t>Eduquas.2.1.5.a</t>
  </si>
  <si>
    <t>Refinement</t>
  </si>
  <si>
    <t>demonstrate understanding of the requirements and any changes required by revised requirements</t>
  </si>
  <si>
    <t>Eduquas.2.1.5.b</t>
  </si>
  <si>
    <t>demonstrate understanding of changes by presenting evidence of developmental changes</t>
  </si>
  <si>
    <t>Eduquas.2.1.5.c</t>
  </si>
  <si>
    <t>demonstrate testing and refinement of code to improve efficiency</t>
  </si>
  <si>
    <t>Eduquas.2.1.5.d</t>
  </si>
  <si>
    <t>discuss the strengths and weaknesses of differing approaches to meeting the requirements</t>
  </si>
  <si>
    <t>Eduquas.2.1.5.e</t>
  </si>
  <si>
    <t>demonstrate an understanding of the technical terminology/concepts used during software development</t>
  </si>
  <si>
    <t>Eduquas.2.1.5.f</t>
  </si>
  <si>
    <t>evaluate the outcomes of the original given code</t>
  </si>
  <si>
    <t>Eduquas.2.1.5.g</t>
  </si>
  <si>
    <t>evaluate the outcomes of the changes made by additional requirements.</t>
  </si>
  <si>
    <t>OCR.1.1.1.a</t>
  </si>
  <si>
    <t>J277/01</t>
  </si>
  <si>
    <t>1.1 - Systems architecture</t>
  </si>
  <si>
    <t>Architecture of the CPU</t>
  </si>
  <si>
    <t>The purpose of the CPU:
-  The fetch-execute cycle</t>
  </si>
  <si>
    <t>OCR.1.1.1.b</t>
  </si>
  <si>
    <t>common CPU components and their function:
-  ALU (Arithmetic Logic Unit)
-  CU (Control Unit)
-  Cache
-  Registers</t>
  </si>
  <si>
    <t>OCR.1.1.1.c</t>
  </si>
  <si>
    <t>Von Neumann architecture:
- MAR (Memory Address Register)
- MDR (Memory Data Register)
- Program Counter
- Accumulator</t>
  </si>
  <si>
    <t>OCR.1.1.2.d</t>
  </si>
  <si>
    <t>CPU performance</t>
  </si>
  <si>
    <t>how common characteristics of CPUs affect their performance:
-  clock speed
-  cache size
-  number of cores</t>
  </si>
  <si>
    <t>OCR.1.1.3.a</t>
  </si>
  <si>
    <t>The purpose and characteristics of embedded systems</t>
  </si>
  <si>
    <t>OCR.1.1.3.b</t>
  </si>
  <si>
    <t>Examples of embedded systems</t>
  </si>
  <si>
    <t>OCR.1.2.1.a</t>
  </si>
  <si>
    <t>1.2 - Memory and storage</t>
  </si>
  <si>
    <t>Primary storage (Memory)</t>
  </si>
  <si>
    <t>The need for primary storage</t>
  </si>
  <si>
    <t>OCR.1.2.1.b</t>
  </si>
  <si>
    <t>the difference between RAM and ROM</t>
  </si>
  <si>
    <t>OCR.1.2.1.c</t>
  </si>
  <si>
    <t>the purpose of ROM in a computer system</t>
  </si>
  <si>
    <t>OCR.1.2.1.d</t>
  </si>
  <si>
    <t>the purpose of RAM in a computer system</t>
  </si>
  <si>
    <t>OCR.1.2.1.e</t>
  </si>
  <si>
    <t>the need for virtual memory</t>
  </si>
  <si>
    <t>OCR.1.2.2.a</t>
  </si>
  <si>
    <t>the need for secondary storage</t>
  </si>
  <si>
    <t>OCR.1.2.2.b</t>
  </si>
  <si>
    <t>common types of storage:
-  optical
-  magnetic
-  solid state</t>
  </si>
  <si>
    <t>OCR.1.2.2.c</t>
  </si>
  <si>
    <t>suitable storage devices and storage media for a given application</t>
  </si>
  <si>
    <t>OCR.1.2.2.d</t>
  </si>
  <si>
    <t>the advantages and disadvantages of these, using characteristics:
-  capacity
-  speed
-  portability
-  durability
-  reliability
-  cost.</t>
  </si>
  <si>
    <t>OCR.1.2.3.a</t>
  </si>
  <si>
    <t>The units of data storage:
- Bit
- Nibble (4 bits)
- Byte (8 bits)
- Kilobyte (1,000 bytes or 1 KB)
- Megabyte (1,000 KB)
- Gigabyte (1,000 MB)
- Terabyte (1,000 GB)
- Petabyte (1,000 TB)</t>
  </si>
  <si>
    <t>OCR.1.2.3.b</t>
  </si>
  <si>
    <t>How data needs to be converted into a binary format to be processed by a computer</t>
  </si>
  <si>
    <t>OCR.1.2.3.c</t>
  </si>
  <si>
    <t>data capacity and calculation of data capacity requirements</t>
  </si>
  <si>
    <t>OCR.1.2.4.a</t>
  </si>
  <si>
    <t>Data storage</t>
  </si>
  <si>
    <t>How to convert positive denary whole numbers to binary numbers (up to and including 8 bits) and vice versa</t>
  </si>
  <si>
    <t>OCR.1.2.4.b</t>
  </si>
  <si>
    <t>how to add two binary integers together (up to and including 8 bits) and explain overflow errors which may occur</t>
  </si>
  <si>
    <t>OCR.1.2.4.c</t>
  </si>
  <si>
    <t>How to convert positive denary whole numbers into 2-digit hexadecimal numbers and vice versa</t>
  </si>
  <si>
    <t>OCR.1.2.4.d</t>
  </si>
  <si>
    <t>How to convert binary integers to their hexadecimal equivalents and vice versa</t>
  </si>
  <si>
    <t>OCR.1.2.4.e</t>
  </si>
  <si>
    <t>binary shifts</t>
  </si>
  <si>
    <t>OCR.1.2.4.f</t>
  </si>
  <si>
    <t>the use of binary codes to represent characters</t>
  </si>
  <si>
    <t>OCR.1.2.4.g</t>
  </si>
  <si>
    <t>the term ‘character-set’</t>
  </si>
  <si>
    <t>OCR.1.2.4.h</t>
  </si>
  <si>
    <t>the relationship between the number of bits per character in a character set, and the number of characters which can be represented, e.g.:
- ASCII
- Unicode</t>
  </si>
  <si>
    <t>OCR.1.2.4.i</t>
  </si>
  <si>
    <t>how an image is represented as a series of pixels, represented in binary</t>
  </si>
  <si>
    <t>OCR.1.2.4.j</t>
  </si>
  <si>
    <t>metadata</t>
  </si>
  <si>
    <t>OCR.1.2.4.k</t>
  </si>
  <si>
    <t>the effect of colour depth and resolution on:
- the quality of the image
- the size of an image file</t>
  </si>
  <si>
    <t>OCR.1.2.4.l</t>
  </si>
  <si>
    <t>how sound can be sampled and stored in digital form</t>
  </si>
  <si>
    <t>OCR.1.2.4.m</t>
  </si>
  <si>
    <t>The effect of sample rate, duration and bit depth on:
- The playback quality
- The size of a sound file</t>
  </si>
  <si>
    <t>OCR.1.2.5.a</t>
  </si>
  <si>
    <t>need for compression</t>
  </si>
  <si>
    <t>OCR.1.2.5.b</t>
  </si>
  <si>
    <t>types of compression:
-  lossy
-  lossless.</t>
  </si>
  <si>
    <t>OCR.1.3.1.a</t>
  </si>
  <si>
    <t>1.3 - Computer networks, connections and protocols</t>
  </si>
  <si>
    <t>Networks and topologies</t>
  </si>
  <si>
    <t>types of networks:
-  LAN (Local Area Network)
-  WAN (Wide Area Network)</t>
  </si>
  <si>
    <t>OCR.1.3.1.b</t>
  </si>
  <si>
    <t>factors that affect the performance of networks</t>
  </si>
  <si>
    <t>OCR.1.3.1.c</t>
  </si>
  <si>
    <t>the different roles of computers in a client-server and a peer-to-peer network</t>
  </si>
  <si>
    <t>OCR.1.3.1.d</t>
  </si>
  <si>
    <t>the hardware needed to connect stand-alone computers into a Local Area Network:
-  wireless access points
-  routers
-  switches
-  NIC (Network Interface Controller/Card)
-  transmission media</t>
  </si>
  <si>
    <t>OCR.1.3.1.e</t>
  </si>
  <si>
    <t>the internet as a worldwide collection of computer networks:
-  DNS (Domain Name Server)
-  hosting
-  the cloud
-  web servers and clients</t>
  </si>
  <si>
    <t>OCR.1.3.1.f</t>
  </si>
  <si>
    <t>star and mesh network topologies</t>
  </si>
  <si>
    <t>OCR.1.3.2.a</t>
  </si>
  <si>
    <t>Wired and wireless networks, protocols and layers</t>
  </si>
  <si>
    <t>Modes of connection:
- Wired
  -  Ethernet
- Wireless
  -  Wi-Fi
  -  Bluetooth</t>
  </si>
  <si>
    <t>OCR.1.3.2.b</t>
  </si>
  <si>
    <t>Encryption</t>
  </si>
  <si>
    <t>OCR.1.3.2.c</t>
  </si>
  <si>
    <t>IP addressing and MAC addressing</t>
  </si>
  <si>
    <t>OCR.1.3.2.d</t>
  </si>
  <si>
    <t>Network standards</t>
  </si>
  <si>
    <t>OCR.1.3.2.e</t>
  </si>
  <si>
    <t>Common protocols including:
-  TCP/IP (Transmission Control Protocol/Internet Protocol)
-  HTTP (Hyper Text Transfer Protocol)
-  HTTPS (Hyper Text Transfer Protocol Secure)
-  FTP (File Transfer Protocol)
-  POP (Post Office Protocol)
-  IMAP (Internet Message Access Protocol)
-  SMTP (Simple Mail Transfer Protocol)</t>
  </si>
  <si>
    <t>OCR.1.3.2.f</t>
  </si>
  <si>
    <t>the concept of layers</t>
  </si>
  <si>
    <t>OCR.1.4.1.a</t>
  </si>
  <si>
    <t>1.4 - Network security</t>
  </si>
  <si>
    <t>Threats to computer systems and networks</t>
  </si>
  <si>
    <t>Forms of attack:
- Malware
- Social engineering, e.g. phishing, people as the ‘weak point’
- Brute-force attacks
- Denial of service attacks
- Data interception and theft
- The concept of SQL injection</t>
  </si>
  <si>
    <t>OCR.1.4.2.a</t>
  </si>
  <si>
    <t>Identifying and preventing vulnerabilities</t>
  </si>
  <si>
    <t>Common prevention methods:
- Penetration testing
- Anti-malware software
- Firewalls
- User access levels
- Passwords
- Encryption
- Physical security</t>
  </si>
  <si>
    <t>OCR.1.5.1.a</t>
  </si>
  <si>
    <t>1.5 - Systems software</t>
  </si>
  <si>
    <t>The purpose and functionality of operating systems:
-  user interface
-  memory management and multitasking
-  peripheral management and drivers
-  user management
-  file management</t>
  </si>
  <si>
    <t>OCR.1.5.2.a</t>
  </si>
  <si>
    <t>the purpose and functionality of utility software</t>
  </si>
  <si>
    <t>OCR.1.5.2.b</t>
  </si>
  <si>
    <t>utility system software:
-  encryption software
-  defragmentation
-  data compression</t>
  </si>
  <si>
    <t>OCR.1.6.1.a</t>
  </si>
  <si>
    <t>1.6 - Ethical, legal, cultural and environmental impacts of digital technology</t>
  </si>
  <si>
    <t>Ethical, legal, cultural and environmental impact</t>
  </si>
  <si>
    <t>Impacts of digital technology on wider society including:
- Ethical issues
- Legal issues
- Cultural issues
- Environmental issues
- Privacy issues</t>
  </si>
  <si>
    <t>OCR.1.6.1.b</t>
  </si>
  <si>
    <t>Legislation relevant to Computer Science:
- The Data Protection Act 2018
- Computer Misuse Act 1990
- Copyright Designs and Patents Act 1988
- Software licences (i.e. open source and proprietary)</t>
  </si>
  <si>
    <t>OCR.2.1.1.a</t>
  </si>
  <si>
    <t>J277/02</t>
  </si>
  <si>
    <t>2.1 - Algorithms</t>
  </si>
  <si>
    <t>Principals of computational thinking:
-  abstraction
-  decomposition
-  algorithmic thinking</t>
  </si>
  <si>
    <t>OCR.2.1.2.a</t>
  </si>
  <si>
    <t>Designing, creating and refining algorithms</t>
  </si>
  <si>
    <t>Identify the inputs, processes, and outputs for a problem</t>
  </si>
  <si>
    <t>OCR.2.1.2.b</t>
  </si>
  <si>
    <t>Structure diagrams</t>
  </si>
  <si>
    <t>OCR.2.1.2.c</t>
  </si>
  <si>
    <t>(create, interpret, correct, complete, and refine algorithms using:
-  pseudocode
-  flowcharts
-  reference language / high-level programming language)</t>
  </si>
  <si>
    <t>Algorithms 1, Algorithms 2, Flat-file databases, Iteration, Selection, Sequence</t>
  </si>
  <si>
    <t>OCR.2.1.2.d</t>
  </si>
  <si>
    <t>Identify common errors</t>
  </si>
  <si>
    <t>OCR.2.1.2.e</t>
  </si>
  <si>
    <t>Trace tables</t>
  </si>
  <si>
    <t>OCR.2.1.3.a</t>
  </si>
  <si>
    <t>Searching and sorting algorithms</t>
  </si>
  <si>
    <t>standard searching algorithms:
-  binary search
-  linear search</t>
  </si>
  <si>
    <t>OCR.2.1.3.b</t>
  </si>
  <si>
    <t>standard sorting algorithms:
-  bubble sort
-  merge sort
-  insertion sort</t>
  </si>
  <si>
    <t>OCR.2.2.1.a</t>
  </si>
  <si>
    <t>2.2 - Programming fundamentals</t>
  </si>
  <si>
    <t>the use of variables, constants, operators, inputs, outputs and assignments</t>
  </si>
  <si>
    <t>Selection, Sequence, Subroutines</t>
  </si>
  <si>
    <t>OCR.2.2.1.b</t>
  </si>
  <si>
    <t>the use of the three basic programming constructs used to control the flow of a program:
-  sequence
-  selection
-  iteration (count- and condition-controlled loops)</t>
  </si>
  <si>
    <t>OCR.2.2.1.c</t>
  </si>
  <si>
    <t>the common arithmetic operators</t>
  </si>
  <si>
    <t>OCR.2.2.1.d</t>
  </si>
  <si>
    <t>the common Boolean operators AND, OR and NOT</t>
  </si>
  <si>
    <t>OCR.2.2.2.a</t>
  </si>
  <si>
    <t>the use of data types:
-  integer
-  real
-  Boolean
-  character and string
-  casting</t>
  </si>
  <si>
    <t>OCR.2.2.3.a</t>
  </si>
  <si>
    <t>the use of basic string manipulation</t>
  </si>
  <si>
    <t>OCR.2.2.3.b</t>
  </si>
  <si>
    <t>the use of basic file handling operations:
-  open
-  read
-  write
-  close</t>
  </si>
  <si>
    <t>OCR.2.2.3.c</t>
  </si>
  <si>
    <t>the use of records to store data</t>
  </si>
  <si>
    <t>OCR.2.2.3.d</t>
  </si>
  <si>
    <t>(the use of SQL to search for data)</t>
  </si>
  <si>
    <t>OCR.2.2.3.e</t>
  </si>
  <si>
    <t>the use of arrays (or equivalent) when solving problems, including both one-dimensional and two-dimensional
arrays</t>
  </si>
  <si>
    <t>OCR.2.2.3.f</t>
  </si>
  <si>
    <t>how to use sub programs (functions and procedures) to produce structured code</t>
  </si>
  <si>
    <t>Iteration, Sequence, Subroutines</t>
  </si>
  <si>
    <t>OCR.2.2.3.g</t>
  </si>
  <si>
    <t>Random number generation</t>
  </si>
  <si>
    <t>OCR.2.3.1.a</t>
  </si>
  <si>
    <t>2.3 - Producing robust programs</t>
  </si>
  <si>
    <t>Defensive design</t>
  </si>
  <si>
    <t>defensive design considerations:
-  anticipating misuse
-  authentication</t>
  </si>
  <si>
    <t>OCR.2.3.1.b</t>
  </si>
  <si>
    <t>Input validation</t>
  </si>
  <si>
    <t>OCR.2.3.1.c</t>
  </si>
  <si>
    <t>Maintainability:
- Use of sub programs
- Naming conventions
- Indentation
- Commenting</t>
  </si>
  <si>
    <t>OCR.2.3.2.a</t>
  </si>
  <si>
    <t>the purpose of testing</t>
  </si>
  <si>
    <t>OCR.2.3.2.b</t>
  </si>
  <si>
    <t>types of testing:
-  iterative
-  final/terminal</t>
  </si>
  <si>
    <t>OCR.2.3.2.c</t>
  </si>
  <si>
    <t>identify syntax and logic errors</t>
  </si>
  <si>
    <t>OCR.2.3.2.d</t>
  </si>
  <si>
    <t>selecting and using suitable test data:
- Normal
- Boundary
- Invalid
- Erroneous</t>
  </si>
  <si>
    <t>OCR.2.3.2.e</t>
  </si>
  <si>
    <t>Refining algorithms</t>
  </si>
  <si>
    <t>OCR.2.4.1.a</t>
  </si>
  <si>
    <t>2.4 - Boolean logic</t>
  </si>
  <si>
    <t>simple logic diagrams using the operators AND, OR and NOT</t>
  </si>
  <si>
    <t>OCR.2.4.1.b</t>
  </si>
  <si>
    <t>truth tables</t>
  </si>
  <si>
    <t>OCR.2.4.1.c</t>
  </si>
  <si>
    <t>combining Boolean operators using AND, OR and NOT</t>
  </si>
  <si>
    <t>OCR.2.4.1.d</t>
  </si>
  <si>
    <t>applying logical operators in truth tables to solve problems</t>
  </si>
  <si>
    <t>OCR.2.5.1.a</t>
  </si>
  <si>
    <t>2.5 - Programming languages and Integrated Development Environments</t>
  </si>
  <si>
    <t>Languages</t>
  </si>
  <si>
    <t>Characteristics and purpose of different levels of programming language:
- High-level languages
- Low-level languages</t>
  </si>
  <si>
    <t>Computer Systems, Sequence</t>
  </si>
  <si>
    <t>OCR.2.5.1.b</t>
  </si>
  <si>
    <t>the purpose of translators</t>
  </si>
  <si>
    <t>OCR.2.5.1.c</t>
  </si>
  <si>
    <t>the characteristics of a compiler and an interpreter</t>
  </si>
  <si>
    <t>OCR.2.5.2.a</t>
  </si>
  <si>
    <t>The Integrated Development Environment (IDE)</t>
  </si>
  <si>
    <t>common tools and facilities available in an integrated development environment (IDE):
-  editors
-  error diagnostics
-  run-time environment
-  translators.</t>
  </si>
  <si>
    <t>level</t>
  </si>
  <si>
    <t>year_number</t>
  </si>
  <si>
    <t>title</t>
  </si>
  <si>
    <t>lesson_no</t>
  </si>
  <si>
    <t>description</t>
  </si>
  <si>
    <t>string_agg</t>
  </si>
  <si>
    <t>Computing systems and networks – Technology around us</t>
  </si>
  <si>
    <t>To identify technology</t>
  </si>
  <si>
    <t>- I can explain how these technology examples help us
- I can explain technology as something that helps us
- I can locate examples of technology in the classroom</t>
  </si>
  <si>
    <t>1.4,1.5,1.6</t>
  </si>
  <si>
    <t>CS,IT</t>
  </si>
  <si>
    <t>To identify a computer and its main parts</t>
  </si>
  <si>
    <t>- I can name the main parts of a computer
- I can switch on and log into a computer
- I can use a mouse to click and drag</t>
  </si>
  <si>
    <t>To use a mouse in different ways</t>
  </si>
  <si>
    <t>- I can click and drag to make objects on a screen
- I can use a mouse to create a picture
- I can use a mouse to open a program</t>
  </si>
  <si>
    <t>CS,ET</t>
  </si>
  <si>
    <t>To use a keyboard to type on a computer</t>
  </si>
  <si>
    <t>- I can save my work to a file
- I can say what a keyboard is for
- I can type my name on a computer</t>
  </si>
  <si>
    <t>To use the keyboard to edit text</t>
  </si>
  <si>
    <t>- I can delete letters
- I can open my work from a file
- I can use the arrow keys to move the cursor</t>
  </si>
  <si>
    <t>To create rules for using technology responsibly</t>
  </si>
  <si>
    <t>- I can discuss how we benefit from these rules
- I can give examples of some of these rules
- I can identify rules to keep us safe and healthy when we are using technology in and beyond the home</t>
  </si>
  <si>
    <t>CS,ET,SS</t>
  </si>
  <si>
    <t>Creating media – Digital painting</t>
  </si>
  <si>
    <t>To describe what different freehand tools do</t>
  </si>
  <si>
    <t>- I can draw lines on a screen and explain which tools I used
- I can make marks on a screen and explain which tools I used
- I can use the paint tools to draw a picture</t>
  </si>
  <si>
    <t>CM,ET</t>
  </si>
  <si>
    <t>-</t>
  </si>
  <si>
    <t>To use the shape tool and the line tools</t>
  </si>
  <si>
    <t>- I can make marks with the square and line tools
- I can use the shape and line tools effectively
- I can use the shape and line tools to recreate the work of an artist</t>
  </si>
  <si>
    <t>To make careful choices when painting a digital picture</t>
  </si>
  <si>
    <t>- I can choose appropriate shapes
- I can create a picture in the style of an artist
- I can make appropriate colour choices</t>
  </si>
  <si>
    <t>To explain why I chose the tools I used</t>
  </si>
  <si>
    <t>- I can choose appropriate paint tools and colours to recreate the work of an artist
- I can say which tools were helpful and why
- I know that different paint tools do different jobs</t>
  </si>
  <si>
    <t>CM,DD,ET</t>
  </si>
  <si>
    <t>To use a computer on my own to paint a picture</t>
  </si>
  <si>
    <t>- I can change the colour and brush sizes
- I can make dots of colour on the page
- I can use dots of colour to create a picture in the style of an artist on my own</t>
  </si>
  <si>
    <t>To compare painting a picture on a computer and on paper</t>
  </si>
  <si>
    <t>- I can explain that pictures can be made in lots of different ways
- I can say whether I prefer painting using a computer or using paper
- I can spot the differences between painting on a computer and on paper</t>
  </si>
  <si>
    <t>Creating media – Digital writing</t>
  </si>
  <si>
    <t>To use a computer to write</t>
  </si>
  <si>
    <t>- I can identify and find keys on a keyboard
- I can open a word processor
- I can recognise keys on a keyboard</t>
  </si>
  <si>
    <t>1.4,1.6</t>
  </si>
  <si>
    <t>To add and remove text on a computer</t>
  </si>
  <si>
    <t>- I can enter text into a computer
- I can use backspace to remove text
- I can use letter, number, and space keys</t>
  </si>
  <si>
    <t>To identify that the look of text can be changed on a computer</t>
  </si>
  <si>
    <t>- I can explain what the keys that I have learnt about already do
- I can identify the toolbar and use bold, italic, and underline
- I can type capital letters</t>
  </si>
  <si>
    <t>To make careful choices when changing text</t>
  </si>
  <si>
    <t>- I can change the font
- I can select all of the text by clicking and dragging
- I can select a word by double-clicking</t>
  </si>
  <si>
    <t>To explain why I used the tools that I chose</t>
  </si>
  <si>
    <t>- I can decide if my changes have improved my writing
- I can say what tool I used to change the text
- I can use ‘undo’ to remove changes</t>
  </si>
  <si>
    <t>To compare typing on a computer to writing on paper</t>
  </si>
  <si>
    <t>- I can explain the differences between typing and writing
- I can make changes to text on a computer
- I can say why I prefer typing or writing</t>
  </si>
  <si>
    <t>Data and information – Grouping data</t>
  </si>
  <si>
    <t>To label objects</t>
  </si>
  <si>
    <t>- I can describe objects using labels
- I can identify the label for a group of objects
- I can match objects to groups</t>
  </si>
  <si>
    <t>To identify that objects can be counted</t>
  </si>
  <si>
    <t>- I can count a group of objects
- I can count objects
- I can group objects</t>
  </si>
  <si>
    <t>To describe objects in different ways</t>
  </si>
  <si>
    <t>- I can describe an object
- I can describe a property of an object
- I can find objects with similar properties</t>
  </si>
  <si>
    <t>To count objects with the same properties</t>
  </si>
  <si>
    <t>- I can count how many objects share a property
- I can group objects in more than one way
- I can group similar objects</t>
  </si>
  <si>
    <t>To compare groups of objects</t>
  </si>
  <si>
    <t>- I can choose how to group objects
- I can describe groups of objects
- I can record how many objects are in a group</t>
  </si>
  <si>
    <t>To answer questions about groups of objects</t>
  </si>
  <si>
    <t>- I can compare groups of objects
- I can decide how to group objects to answer a question
- I can record and share what I have found</t>
  </si>
  <si>
    <t>Programming A – Moving a robot</t>
  </si>
  <si>
    <t>To explain what a given command will do</t>
  </si>
  <si>
    <t>- I can match a command to an outcome
- I can predict the outcome of a command on a device
- I can run a command on a device</t>
  </si>
  <si>
    <t>1.1,1.2,1.3,1.5</t>
  </si>
  <si>
    <t>To act out a given word</t>
  </si>
  <si>
    <t>- I can follow an instruction
- I can give directions
- I can recall words that can be acted out</t>
  </si>
  <si>
    <t>AL,IT</t>
  </si>
  <si>
    <t>To combine forwards and backwards commands to make a sequence</t>
  </si>
  <si>
    <t>- I can compare forwards and backwards movements
- I can predict the outcome of a sequence involving forwards and backwards commands
- I can start a sequence from the same place</t>
  </si>
  <si>
    <t>To combine four direction commands to make sequences</t>
  </si>
  <si>
    <t>- I can compare left and right turns
- I can experiment with turn and move commands to move a robot
- I can predict the outcome of a sequence involving up to four commands</t>
  </si>
  <si>
    <t>To plan a simple program</t>
  </si>
  <si>
    <t>- I can choose the order of commands in a sequence
- I can debug my program
- I can explain what my program should do</t>
  </si>
  <si>
    <t>AL,DD</t>
  </si>
  <si>
    <t>To find more than one solution to a problem</t>
  </si>
  <si>
    <t>- I can identify several possible solutions
- I can plan two programs
- I can use two different programs to get to the same place</t>
  </si>
  <si>
    <t>Programming B – Introduction to animation</t>
  </si>
  <si>
    <t>To choose a command for a given purpose</t>
  </si>
  <si>
    <t>- I can compare different programming tools
- I can find which commands to move a sprite
- I can use commands to move a sprite</t>
  </si>
  <si>
    <t>1.1,1.2,1.3,1.4</t>
  </si>
  <si>
    <t>To show that a series of commands can be joined together</t>
  </si>
  <si>
    <t>- I can run my program
- I can use a Start block in a program
- I can use more than one block by joining them together</t>
  </si>
  <si>
    <t>To identify the effect of changing a value</t>
  </si>
  <si>
    <t>- I can change the value
- I can find blocks that have numbers
- I can say what happens when I change a value</t>
  </si>
  <si>
    <t>To explain that each sprite has its own instructions</t>
  </si>
  <si>
    <t>- I can add blocks to each of my sprites
- I can delete a sprite
- I can show that a project can include more than one sprite</t>
  </si>
  <si>
    <t>To design the parts of a project</t>
  </si>
  <si>
    <t>- I can choose appropriate artwork for my project
- I can create an algorithm for each sprite
- I can decide how each sprite will move</t>
  </si>
  <si>
    <t>DD,PG</t>
  </si>
  <si>
    <t>To use my algorithm to create a program</t>
  </si>
  <si>
    <t>- I can add programming blocks based on my algorithm
- I can test the programs I have created
- I can use sprites that match my design</t>
  </si>
  <si>
    <t>AL,DD,PG</t>
  </si>
  <si>
    <t>Computing systems and networks – IT around us</t>
  </si>
  <si>
    <t>To recognise the uses and features of information technology</t>
  </si>
  <si>
    <t>- I can describe some uses of computers
- I can identify examples of computers
- I can identify that a computer is a part of IT</t>
  </si>
  <si>
    <t>CS,NW,SS</t>
  </si>
  <si>
    <t>To identify the uses of information technology in the school</t>
  </si>
  <si>
    <t>- I can identify examples of IT
- I can identify that some IT can be used in more than one way
- I can sort school IT by what it’s used for</t>
  </si>
  <si>
    <t>CS,IT,NW</t>
  </si>
  <si>
    <t>To identify information technology beyond school</t>
  </si>
  <si>
    <t>- I can find examples of information technology
- I can sort IT by where it is found
- I can talk about uses of information technology</t>
  </si>
  <si>
    <t>To explain how information technology helps us</t>
  </si>
  <si>
    <t>- I can demonstrate how IT devices work together
- I can recognise common types of technology
- I can say why we use IT</t>
  </si>
  <si>
    <t>To explain how to use information technology safely</t>
  </si>
  <si>
    <t>- I can list different uses of information technology
- I can say how rules can help keep me safe
- I can talk about different rules for using IT</t>
  </si>
  <si>
    <t>To recognise that choices are made when using information technology</t>
  </si>
  <si>
    <t>- I can explain the need to use IT in different ways
- I can identify the choices that I make when using IT
- I can use IT for different types of activities</t>
  </si>
  <si>
    <t>CS,IT,NW,SS</t>
  </si>
  <si>
    <t>Creating media – Digital photography</t>
  </si>
  <si>
    <t>To use a digital device to take a photograph</t>
  </si>
  <si>
    <t>- I can explain what I did to capture a digital photo
- I can recognise what devices can be used to take photographs
- I can talk about how to take a photograph</t>
  </si>
  <si>
    <t>CM,CS</t>
  </si>
  <si>
    <t>To make choices when taking a photograph</t>
  </si>
  <si>
    <t>- I can explain the process of taking a good photograph
- I can explain why a photo looks better in portrait or landscape format
- I can take photos in both landscape and portrait format</t>
  </si>
  <si>
    <t>CM,CS,ET</t>
  </si>
  <si>
    <t>To describe what makes a good photograph</t>
  </si>
  <si>
    <t>- I can discuss how to take a good photograph
- I can identify what is wrong with a photograph
- I can improve a photograph by retaking it</t>
  </si>
  <si>
    <t>CM,DD</t>
  </si>
  <si>
    <t>To decide how photographs can be improved</t>
  </si>
  <si>
    <t>- I can experiment with different light sources
- I can explain why a picture may be unclear
- I can explore the effect that light has on a photo</t>
  </si>
  <si>
    <t>To use tools to change an image</t>
  </si>
  <si>
    <t>- I can explain my choices
- I can recognise that images can be changed
- I can use a tool to achieve a desired effect</t>
  </si>
  <si>
    <t>To recognise that photos can be changed</t>
  </si>
  <si>
    <t>- I can apply a range of photography skills to capture a photo
- I can identify which photos are real and which have been changed
- I can recognise which photos have been changed</t>
  </si>
  <si>
    <t>Creating media – Making music</t>
  </si>
  <si>
    <t>To say how music can make us feel</t>
  </si>
  <si>
    <t>- I can describe how music makes me feel, e.g. happy or sad
- I can identify simple differences in pieces of music
- I can listen with concentration to a range of music (links to the Music curriculum)</t>
  </si>
  <si>
    <t>To identify that there are patterns in music</t>
  </si>
  <si>
    <t>- I can create a rhythm pattern
- I can explain that music is created and played by humans
- I can play an instrument following a rhythm pattern</t>
  </si>
  <si>
    <t>To show how music is made from a series of notes</t>
  </si>
  <si>
    <t>- I can identify that music is a sequence of notes
- I can refine my musical pattern on a computer
- I can use a computer to create a musical pattern using three notes</t>
  </si>
  <si>
    <t>CM,DI</t>
  </si>
  <si>
    <t>To create music for a purpose</t>
  </si>
  <si>
    <t>- I can describe an animal using sounds
- I can explain my choices
- I can save my work</t>
  </si>
  <si>
    <t>To review and refine our computer work</t>
  </si>
  <si>
    <t>- I can explain how I made my work better
- I can listen to music and describe how it makes me feel
- I can reopen my work</t>
  </si>
  <si>
    <t>Data and information – Pictograms</t>
  </si>
  <si>
    <t>To recognise that we can count and compare objects using tally charts</t>
  </si>
  <si>
    <t>- I can compare totals in a tally chart
- I can record data in a tally chart
- I can represent a tally count as a total</t>
  </si>
  <si>
    <t>- Health, well-being and lifestyle
- Privacy and security
- Self-image and identity</t>
  </si>
  <si>
    <t>To recognise that objects can be represented as pictures</t>
  </si>
  <si>
    <t>- I can enter data onto a computer
- I can use a computer to view data in a different format
- I can use pictograms to answer simple questions about objects</t>
  </si>
  <si>
    <t>DI,ET</t>
  </si>
  <si>
    <t>To create a pictogram</t>
  </si>
  <si>
    <t>- I can explain what the pictogram shows
- I can organise data in a tally chart
- I can use a tally chart to create a pictogram</t>
  </si>
  <si>
    <t>To select objects by attribute and make comparisons</t>
  </si>
  <si>
    <t>- I can answer ‘more than’/’less than’ and ’most/least’ questions about an attribute
- I can create a pictogram to arrange objects by an attribute
- I can tally objects using a common attribute</t>
  </si>
  <si>
    <t>To recognise that people can be described by attributes</t>
  </si>
  <si>
    <t>- I can choose a suitable attribute to compare people
- I can collect the data I need
- I can create a pictogram and draw conclusions from it</t>
  </si>
  <si>
    <t>To explain that we can present information using a computer</t>
  </si>
  <si>
    <t>- I can give simple examples of why information should not be shared
- I can share what I have found out using a computer
- I can use a computer program to present information in different ways</t>
  </si>
  <si>
    <t>DI,ET,SS</t>
  </si>
  <si>
    <t>Programming A – Robot algorithms</t>
  </si>
  <si>
    <t>To describe a series of instructions as a sequence</t>
  </si>
  <si>
    <t>- I can choose a series of words that can be enacted as a sequence
- I can follow instructions given by someone else
- I can give clear and unambiguous instructions</t>
  </si>
  <si>
    <t>To explain what happens when we change the order of instructions</t>
  </si>
  <si>
    <t>- I can create different algorithms for a range of sequences (using the same commands)
- I can show the difference in outcomes between two sequences that consist of the same commands
- I can use an algorithm to program a sequence on a floor robot</t>
  </si>
  <si>
    <t>To use logical reasoning to predict the outcome of a program (series of commands)</t>
  </si>
  <si>
    <t>- I can compare my prediction to the program outcome
- I can follow a sequence
- I can predict the outcome of a sequence</t>
  </si>
  <si>
    <t>AL,PG</t>
  </si>
  <si>
    <t>To explain that programming projects can have code and artwork</t>
  </si>
  <si>
    <t>- I can explain the choices I made for my mat design
- I can identify different routes around my mat
- I can test my mat to make sure that it is usable</t>
  </si>
  <si>
    <t>To design an algorithm</t>
  </si>
  <si>
    <t>- I can create an algorithm to meet my goal
- I can explain what my algorithm should achieve
- I can use my algorithm to create a program</t>
  </si>
  <si>
    <t>To create and debug a program that I have written</t>
  </si>
  <si>
    <t>- I can plan algorithms for different parts of a task
- I can put together the different parts of my program
- I can test and debug each part of the program</t>
  </si>
  <si>
    <t>Programming B – An introduction to quizzes</t>
  </si>
  <si>
    <t>To explain that a sequence of commands has a start</t>
  </si>
  <si>
    <t>- I can identify that a program needs to be started
- I can identify the start of a sequence
- I can show how to run my program</t>
  </si>
  <si>
    <t>1.1,1.2,1.3</t>
  </si>
  <si>
    <t>To explain that a sequence of commands has an outcome</t>
  </si>
  <si>
    <t>- I can change the outcome of a sequence of commands
- I can match two sequences with the same outcome
- I can predict the outcome of a sequence of commands</t>
  </si>
  <si>
    <t>To create a program using a given design</t>
  </si>
  <si>
    <t>- I can build the sequences of blocks I need
- I can decide which blocks to use to meet the design
- I can work out the actions of a sprite in an algorithm</t>
  </si>
  <si>
    <t>To change a given design</t>
  </si>
  <si>
    <t>- I can choose backgrounds for the design
- I can choose characters for the design
- I can create a program based on the new design</t>
  </si>
  <si>
    <t>To create a program using my own design</t>
  </si>
  <si>
    <t>- I can build sequences of blocks to match my design
- I can choose the images for my own design
- I can create an algorithm</t>
  </si>
  <si>
    <t>To decide how my project can be improved</t>
  </si>
  <si>
    <t>- I can compare my project to my design
- I can debug my program
- I can improve my project by adding features</t>
  </si>
  <si>
    <t>Computing systems and networks – Connecting computers</t>
  </si>
  <si>
    <t>To explain how digital devices function</t>
  </si>
  <si>
    <t>- I can explain that digital devices accept inputs
- I can explain that digital devices produce outputs
- I can follow a process</t>
  </si>
  <si>
    <t>2.2,2.4,2.6</t>
  </si>
  <si>
    <t>To identify input and output devices</t>
  </si>
  <si>
    <t>- I can classify input and output devices
- I can describe a simple process
- I can design a digital device</t>
  </si>
  <si>
    <t>To recognise how digital devices can change the way we work</t>
  </si>
  <si>
    <t>-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</si>
  <si>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</si>
  <si>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I can discuss why we need a network switch
- I can explain how messages are passed through multiple connections
- I can recognise different connections</t>
  </si>
  <si>
    <t>CS,NW</t>
  </si>
  <si>
    <t>To explore how digital devices can be connected</t>
  </si>
  <si>
    <t>-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</si>
  <si>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</si>
  <si>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I can identify how devices in a network are connected together
- I can identify networked devices around me
- I can identify the benefits of computer networks</t>
  </si>
  <si>
    <t>Creating media – Animation</t>
  </si>
  <si>
    <t>To explain that animation is a sequence of drawings or photographs</t>
  </si>
  <si>
    <t>- I can create an effective flip book—style animation
- I can draw a sequence of pictures
- I can explain how an animation/flip book works</t>
  </si>
  <si>
    <t>2.6,2.7</t>
  </si>
  <si>
    <t>To relate animated movement with a sequence of images</t>
  </si>
  <si>
    <t>- I can create an effective stop-frame animation
- I can explain why little changes are needed for each frame
- I can predict what an animation will look like</t>
  </si>
  <si>
    <t>To plan an animation</t>
  </si>
  <si>
    <t>- I can break down a story into settings, characters and events
- I can create a storyboard
- I can describe an animation that is achievable on screen</t>
  </si>
  <si>
    <t>To identify the need to work consistently and carefully</t>
  </si>
  <si>
    <t>- I can evaluate the quality of my animation
- I can review a sequence of frames to check my work
- I can use onion skinning to help me make small changes between frames</t>
  </si>
  <si>
    <t>To review and improve an animation</t>
  </si>
  <si>
    <t>- I can evaluate another learner’s animation
- I can explain ways to make my animation better
- I can improve my animation based on feedback</t>
  </si>
  <si>
    <t>To evaluate the impact of adding other media to an animation</t>
  </si>
  <si>
    <t>- I can add other media to my animation
- I can evaluate my final film
- I can explain why I added other media to my animation</t>
  </si>
  <si>
    <t>Creating media – Desktop publishing</t>
  </si>
  <si>
    <t>To recognise how text and images convey information</t>
  </si>
  <si>
    <t>- I can explain the difference between text and images
- I can identify the advantages and disadvantages of using text and images
- I can recognise that text and images can communicate messages clearly</t>
  </si>
  <si>
    <t>2.5,2.6</t>
  </si>
  <si>
    <t>To recognise that text and layout can be edited</t>
  </si>
  <si>
    <t>- I can change font style, size, and colours for a given purpose
- I can edit text
- I can explain that text can be changed to communicate more clearly</t>
  </si>
  <si>
    <t>To choose appropriate page settings</t>
  </si>
  <si>
    <t>- I can create a template for a particular purpose
- I can define the term 'page orientation'
- I can recognise placeholders and say why they are important</t>
  </si>
  <si>
    <t>To add content to a desktop publishing publication</t>
  </si>
  <si>
    <t>- I can choose the best locations for my content
- I can make changes to content after I’ve added it
- I can paste text and images to create a magazine cover</t>
  </si>
  <si>
    <t>To consider how different layouts can suit different purposes</t>
  </si>
  <si>
    <t>- I can choose a suitable layout for a given purpose
- I can identify different layouts
- I can match a layout to a purpose</t>
  </si>
  <si>
    <t>To consider the benefits of desktop publishing</t>
  </si>
  <si>
    <t>- I can compare work made on desktop publishing to work created by hand
- I can identify the uses of desktop publishing in the real world
- I can say why desktop publishing might be helpful</t>
  </si>
  <si>
    <t>CM,DD,ET,IT</t>
  </si>
  <si>
    <t>Data and information – Branching databases</t>
  </si>
  <si>
    <t>To create questions with yes/no answers</t>
  </si>
  <si>
    <t>- I can create two groups of objects separated by one attribute
- I can investigate questions with yes/no answers
- I can make up a yes/no question about a collection of objects</t>
  </si>
  <si>
    <t>To identify the object attributes needed to collect relevant data</t>
  </si>
  <si>
    <t>- I can arrange objects into a tree structure
- I can create a group of objects within an existing group
- I can select an attribute to separate objects into groups</t>
  </si>
  <si>
    <t>To create a branching database</t>
  </si>
  <si>
    <t>- I can group objects using my own yes/no questions
- I can prove my branching database works
- I can select objects to arrange in a branching database</t>
  </si>
  <si>
    <t>To explain why it is helpful for a database to be well structured</t>
  </si>
  <si>
    <t>- I can compare two branching database structures
- I can create yes/no questions using given attributes
- I can explain that questions need to be ordered carefully to split objects into similarly sized groups</t>
  </si>
  <si>
    <t>DD,DI,ET</t>
  </si>
  <si>
    <t>To identify objects using a branching database</t>
  </si>
  <si>
    <t>- I can create questions and apply them to a tree structure
- I can select a theme and choose a variety of objects
- I can use my branching database to answer questions</t>
  </si>
  <si>
    <t>To compare the information shown in a pictogram with a branching database</t>
  </si>
  <si>
    <t>- I can compare two ways of presenting information
- I can explain what a branching database tells me
- I can explain what a pictogram tells me</t>
  </si>
  <si>
    <t>DD,DI</t>
  </si>
  <si>
    <t>Programming A – Sequence in music</t>
  </si>
  <si>
    <t>To explore a new programming environment</t>
  </si>
  <si>
    <t>- I can explain that objects in Scratch have attributes (linked to)
- I can identify the objects in a Scratch project (sprites, backdrops)
- I can recognise that commands in Scratch are represented as blocks</t>
  </si>
  <si>
    <t>2.1,2.2,2.3,2.6</t>
  </si>
  <si>
    <t>ET,PG</t>
  </si>
  <si>
    <t>To identify that commands have an outcome</t>
  </si>
  <si>
    <t>- I can choose a word which describes an on-screen action for my plan
- I can create a program following a design
- I can identify that each sprite is controlled by the commands I choose</t>
  </si>
  <si>
    <t>To explain that a program has a start</t>
  </si>
  <si>
    <t>- I can create a sequence of connected commands
- I can explain that the objects in my project will respond exactly to the code
- I can start a program in different ways</t>
  </si>
  <si>
    <t>To recognise that a sequence of commands can have an order</t>
  </si>
  <si>
    <t>- I can combine sound commands
- I can explain what a sequence is
- I can order notes into a sequence</t>
  </si>
  <si>
    <t>To change the appearance of my project</t>
  </si>
  <si>
    <t>- I can build a sequence of commands
- I can decide the actions for each sprite in a program
- I can make design choices for my artwork</t>
  </si>
  <si>
    <t>To create a project from a task description</t>
  </si>
  <si>
    <t>- I can identify and name the objects I will need for a project
- I can implement my algorithm as code
- I can relate a task description to a design</t>
  </si>
  <si>
    <t>AL,CM,DD,PG</t>
  </si>
  <si>
    <t>Programming B – Events and actions</t>
  </si>
  <si>
    <t>To explain how a sprite moves in an existing project</t>
  </si>
  <si>
    <t>- I can choose which keys to use for actions and explain my choices
- I can explain the relationship between an event and an action
- I can identify a way to improve a program</t>
  </si>
  <si>
    <t>To create a program to move a sprite in four directions</t>
  </si>
  <si>
    <t>- I can choose a character for my project
- I can choose a suitable size for a character in a maze
- I can program movement</t>
  </si>
  <si>
    <t>To adapt a program to a new context</t>
  </si>
  <si>
    <t>- I can choose blocks to set up my program
- I can consider the real world when making design choices
- I can use a programming extension</t>
  </si>
  <si>
    <t>To develop my program by adding features</t>
  </si>
  <si>
    <t>- I can build more sequences of commands to make my design work
- I can choose suitable keys to turn on additional features
- I can identify additional features (from a given set of blocks)</t>
  </si>
  <si>
    <t>To identify and fix bugs in a program</t>
  </si>
  <si>
    <t>- I can match a piece of code to an outcome
- I can modify a program using a design
- I can test a program against a given design</t>
  </si>
  <si>
    <t>To design and create a maze-based challenge</t>
  </si>
  <si>
    <t>- I can evaluate my project
- I can implement my design
- I can make design choices and justify them</t>
  </si>
  <si>
    <t>Computing systems and networks – The Internet</t>
  </si>
  <si>
    <t>To describe how networks physically connect to other networks</t>
  </si>
  <si>
    <t>- I can demonstrate how information is shared across the internet
- I can describe the internet as a network of networks
- I can discuss why a network needs protecting</t>
  </si>
  <si>
    <t>2.4,2.5,2.6,2.7</t>
  </si>
  <si>
    <t>NW,SS</t>
  </si>
  <si>
    <t>- Managing online information</t>
  </si>
  <si>
    <t>To recognise how networked devices make up the internet</t>
  </si>
  <si>
    <t>- I can describe networked devices and how they connect
- I can explain that the internet is used to provide many services
- I can recognise that the World Wide Web contains websites and web pages</t>
  </si>
  <si>
    <t>To outline how websites can be shared via the World Wide Web (WWW)</t>
  </si>
  <si>
    <t>- I can describe how to access websites on the WWW
- I can describe where websites are stored when uploaded to the WWW
- I can explain the types of media that can be shared on the WWW</t>
  </si>
  <si>
    <t>To describe how content can be added and accessed on the World Wide Web (WWW)</t>
  </si>
  <si>
    <t>- I can explain that internet services can be used to create content online
- I can explain what media can be found on websites
- I can recognise that I can add content to the WWW</t>
  </si>
  <si>
    <t>CM,NW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</si>
  <si>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</si>
  <si>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</si>
  <si>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</si>
  <si>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I can explain that not everything on the World Wide Web is true
- I can explain why I need to think carefully before I share or reshare content
- I can explain why some information I find online may not be honest, accurate, or legal</t>
  </si>
  <si>
    <t>IT,NW,SS</t>
  </si>
  <si>
    <t>Creating media – Audio editing</t>
  </si>
  <si>
    <t>To identify that sound can be digitally recorded</t>
  </si>
  <si>
    <t>- I can identify digital devices that can record sound and play it back
- I can identify the inputs and outputs required to play audio or record sound
- I can recognise the range of sounds that can be recorded</t>
  </si>
  <si>
    <t>2.5,2.6,2.7</t>
  </si>
  <si>
    <t>CS,DI</t>
  </si>
  <si>
    <t>To use a digital device to record sound</t>
  </si>
  <si>
    <t>- I can discuss what other people include when recording sound for a podcast
- I can suggest how to improve my recording
- I can use a device to record audio and play back sound</t>
  </si>
  <si>
    <t>CM,CS,DD,ET</t>
  </si>
  <si>
    <t>To explain that a digital recording is stored as a file</t>
  </si>
  <si>
    <t>- I can discuss why it is useful to be able to save digital recordings
- I can plan and write the content for a podcast
- I can save a digital recording as a file</t>
  </si>
  <si>
    <t>CM,DD,DI,ET</t>
  </si>
  <si>
    <t>To explain that audio can be changed through editing</t>
  </si>
  <si>
    <t>- I can discuss ways in which audio recordings can be altered
- I can edit sections of of an audio recording
- I can open a digital recording from a file</t>
  </si>
  <si>
    <t>To show that different types of audio can be combined and played together</t>
  </si>
  <si>
    <t>- I can choose suitable sounds to include in a podcast
- I can discuss sounds that other people combine
- I can use editing tools to arrange sections of audio</t>
  </si>
  <si>
    <t>To evaluate editing choices made</t>
  </si>
  <si>
    <t>- I can discuss the features of a digital recording I like
- I can explain that digital recordings need to be exported to share them
- I can suggest improvements to a digital recording</t>
  </si>
  <si>
    <t>Creating media – Photo editing</t>
  </si>
  <si>
    <t>To explain that digital images can be changed</t>
  </si>
  <si>
    <t>- I can explain the effect that editing can have on an image
- I can explore how images can be changed in real life
- I can identify changes that we can make to an image</t>
  </si>
  <si>
    <t>To change the composition of an image</t>
  </si>
  <si>
    <t>- I can change the composition of an image by selecting parts of it
- I can consider why someone might want to change the composition of an image
- I can explain what has changed in an edited image</t>
  </si>
  <si>
    <t>CM,ET,IT</t>
  </si>
  <si>
    <t>To describe how images can be changed for different uses</t>
  </si>
  <si>
    <t>- I can choose effects to make my image fit a scenario
- I can explain why my choices fit a scenario
- I can talk about changes made to images</t>
  </si>
  <si>
    <t>To make good choices when selecting different tools</t>
  </si>
  <si>
    <t>- I can choose appropriate tools to retouch an image
- I can give examples of positive and negative effects that retouching can have on an image
- I can identify how an image has been retouched</t>
  </si>
  <si>
    <t>To recognise that not all images are real</t>
  </si>
  <si>
    <t>- I can combine parts of images to create new images
- I can sort images into ‘fake’ or ‘real’ and explain my choices
- I can talk about fake images around me</t>
  </si>
  <si>
    <t>CM,ET,SS</t>
  </si>
  <si>
    <t>To evaluate how changes can improve an image</t>
  </si>
  <si>
    <t>- I can compare the original image with my completed publication
- I can consider the effect of adding other elements to my work
- I can evaluate the impact of my publication on others through feedback</t>
  </si>
  <si>
    <t>Data and information – Data logging</t>
  </si>
  <si>
    <t>To explain that data gathered over time can be used to answer questions</t>
  </si>
  <si>
    <t>- I can choose a data set to answer a given question
- I can identify data that can be gathered over time
- I can suggest questions that can be answered using a given data set</t>
  </si>
  <si>
    <t>2.2,2.6</t>
  </si>
  <si>
    <t>To use a digital device to collect data automatically</t>
  </si>
  <si>
    <t>- I can explain that sensors are input devices
- I can identify that data from sensors can be recorded
- I can use data from a sensor to answer a given question</t>
  </si>
  <si>
    <t>CS,DI,ET</t>
  </si>
  <si>
    <t>To explain that a data logger collects ‘data points’ from sensors over time</t>
  </si>
  <si>
    <t>- I can identify a suitable place to collect data
- I can identify the intervals used to collect data
- I can talk about the data that I have captured</t>
  </si>
  <si>
    <t>To use data collected over a long duration to find information</t>
  </si>
  <si>
    <t>- I can import a data set
- I can use a computer program to sort data
- I can use a computer to view data in different ways</t>
  </si>
  <si>
    <t>To identify the data needed to answer questions</t>
  </si>
  <si>
    <t>- I can plan how to collect data using a data logger
- I can propose a question that can be answered using logged data
- I can use a data logger to collect data</t>
  </si>
  <si>
    <t>To use collected data to answer questions</t>
  </si>
  <si>
    <t>- I can draw conclusions from the data that I have collected
- I can explain the benefits of using a data logger
- I can interpret data that has been collected using a data logger</t>
  </si>
  <si>
    <t>Programming A – Repetition in shapes</t>
  </si>
  <si>
    <t>To identify that accuracy in programming is important</t>
  </si>
  <si>
    <t>- I can create a code snippet for a given purpose
- I can explain the effect of changing a value of a command
- I can program a computer by typing commands</t>
  </si>
  <si>
    <t>To create a program in a text-based language</t>
  </si>
  <si>
    <t>- I can test my algorithm in a text-based language
- I can use a template to create a design for my program
- I can write an algorithm to produce a given outcome</t>
  </si>
  <si>
    <t>To explain what ‘repeat’ means</t>
  </si>
  <si>
    <t>-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</si>
  <si>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</si>
  <si>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I can choose which values to change in a loop
- I can identify the effect of changing the number of times a task is repeated
- I can predict the outcome of a program containing a count-controlled loop</t>
  </si>
  <si>
    <t>To decompose a task into small steps</t>
  </si>
  <si>
    <t>- I can explain that a computer can repeatedly call a procedure
- I can identify ‘chunks’ of actions in the real world
- I can use a procedure in a program</t>
  </si>
  <si>
    <t>To create a program that uses count-controlled loops to produce a given outcome</t>
  </si>
  <si>
    <t>- I can design a program that includes count-controlled loops
- I can develop my program by debugging it
- I can make use of my design to write a program</t>
  </si>
  <si>
    <t>Programming B – Repetition in games</t>
  </si>
  <si>
    <t>To develop the use of count-controlled loops in a different programming environment</t>
  </si>
  <si>
    <t>- I can list an everyday task as a set of instructions including repetition
- I can modify a snippet of code to create a given outcome
- I can predict the outcome of a snippet of code</t>
  </si>
  <si>
    <t>2.1,2.2,2.3</t>
  </si>
  <si>
    <t>To explain that in programming there are infinite loops and count controlled loops</t>
  </si>
  <si>
    <t>-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</si>
  <si>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</si>
  <si>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I can choose which action will be repeated for each object
- I can evaluate the effectiveness of the repeated sequences used in my program
- I can explain what the outcome of the repeated action should be</t>
  </si>
  <si>
    <t>To modify an infinite loop in a given program</t>
  </si>
  <si>
    <t>- I can explain the effect of my changes
- I can identify which parts of a loop can be changed
- I can re-use existing code snippets on new sprites</t>
  </si>
  <si>
    <t>To design a project that includes repetition</t>
  </si>
  <si>
    <t>- I can develop my own design explaining what my project will do
- I can evaluate the use of repetition in a project
- I can select key parts of a given project to use in my own design</t>
  </si>
  <si>
    <t>To create a project that includes repetition</t>
  </si>
  <si>
    <t>- I can build a program that follows my design
- I can evaluate the steps I followed when building my project
- I can refine the algorithm in my design</t>
  </si>
  <si>
    <t>Computing systems and networks – Sharing information</t>
  </si>
  <si>
    <t>To explain that computers can be connected together to form systems</t>
  </si>
  <si>
    <t>- I can describe that a computer system features inputs, processes, and outputs
- I can explain that computer systems communicate with other devices
- I can explain that systems are built using a number of parts</t>
  </si>
  <si>
    <t>2.1,2.2,2.4,2.6,2.7</t>
  </si>
  <si>
    <t>To recognise the role of computer systems in our lives</t>
  </si>
  <si>
    <t>- I can explain the benefits of a given computer system
- I can identify tasks that are managed by computer systems
- I can identify the human elements of a computer system</t>
  </si>
  <si>
    <t>To recognise how information is transferred over the internet</t>
  </si>
  <si>
    <t>- I can explain that data is transferred over networks in packets
- I can explain that networked digital devices have unique addresses
- I can recognise that data is transferred using agreed methods</t>
  </si>
  <si>
    <t>To explain how sharing information online lets people in different places work together</t>
  </si>
  <si>
    <t>- I can explain that the internet allows different media to be shared
- I can recognise that connected digital devices can allow us to access shared files stored online
- I can send information over the internet in different ways</t>
  </si>
  <si>
    <t>IT,NW</t>
  </si>
  <si>
    <t>To contribute to a shared project online</t>
  </si>
  <si>
    <t>- I can compare working online with working offline
- I can make thoughtful suggestions on my group’s work
- I can suggest strategies to ensure successful group work</t>
  </si>
  <si>
    <t>ET,NW</t>
  </si>
  <si>
    <t>To evaluate different ways of working together online</t>
  </si>
  <si>
    <t>- I can explain how the internet enables effective collaboration
- I can identify different ways of working together online
- I can recognise that working together on the internet can be public or private</t>
  </si>
  <si>
    <t>DD,ET,NW</t>
  </si>
  <si>
    <t>Creating media – Vector drawing</t>
  </si>
  <si>
    <t>To identify that drawing tools can be used to produce different outcomes</t>
  </si>
  <si>
    <t>- I can discuss how a vector drawing is different from paper-based drawings
- I can identify the main drawing tools
- I can recognise that vector drawings are made using shapes</t>
  </si>
  <si>
    <t>CM,DI,ET</t>
  </si>
  <si>
    <t>To create a vector drawing by combining shapes</t>
  </si>
  <si>
    <t>- I can explain that each element added to a vector drawing is an object
- I can identify the shapes used to make a vector drawing
- I can move, resize, and rotate objects I have duplicated</t>
  </si>
  <si>
    <t>To use tools to achieve a desired effect</t>
  </si>
  <si>
    <t>- I can explain how alignment grids and resize handles can be used to improve consistency
- I can modify objects to create different effects
- I can use the zoom tool to help me add detail to my drawings</t>
  </si>
  <si>
    <t>To recognise that vector drawings consist of layers</t>
  </si>
  <si>
    <t>- I can change the order of layers in a vector drawing
- I can identify that each added object creates a new layer in the drawing
- I can identify which objects are in the front layer or in the back layer of a drawing</t>
  </si>
  <si>
    <t>To group objects to make them easier to work with</t>
  </si>
  <si>
    <t>- I can copy part of a drawing by duplicating several objects
- I can group to create a single object
- I can reuse a group of objects to further develop my vector drawing</t>
  </si>
  <si>
    <t>To evaluate my vector drawing</t>
  </si>
  <si>
    <t>- I can apply what I have learned about vector drawings
- I can suggest improvements to a vector drawing
- I create alternatives to vector drawings</t>
  </si>
  <si>
    <t>Creating media – Video editing</t>
  </si>
  <si>
    <t>To explain what makes a video effective</t>
  </si>
  <si>
    <t>- I can compare features in different videos
- I can explain that video is a visual media format
- I can identify features of videos</t>
  </si>
  <si>
    <t>To identify digital devices that can record video</t>
  </si>
  <si>
    <t>- I can experiment with different camera angles
- I can identify and find features on a digital video recording device
- I can make use of a microphone</t>
  </si>
  <si>
    <t>To capture video using a range of techniques</t>
  </si>
  <si>
    <t>- I can capture video using a range of filming techniques
- I can review how effective my video is
- I can suggest filming techniques for a given purpose</t>
  </si>
  <si>
    <t>CM,SS</t>
  </si>
  <si>
    <t>To create a storyboard</t>
  </si>
  <si>
    <t>- I can create and save video content
- I can decide which filming techniques I will use
- I can outline the scenes of my video</t>
  </si>
  <si>
    <t>To identify that video can be improved through reshooting and editing</t>
  </si>
  <si>
    <t>- I can explain how to improve a video by reshooting and editing
- I can select the correct tools to make edits to my video
- I can store, retrieve, and export my recording to a computer</t>
  </si>
  <si>
    <t>To consider the impact of the choices made when making and sharing a video</t>
  </si>
  <si>
    <t>- I can evaluate my video and share my opinions
- I can make edits to my video and improve the final outcome
- I can recognise that my choices when making a video will impact on the quality of the final outcome</t>
  </si>
  <si>
    <t>Data and information – Flat-file databases</t>
  </si>
  <si>
    <t>To use a form to record information</t>
  </si>
  <si>
    <t>- I can create multiple questions about the same field
- I can explain how information can be recorded
- I can order, sort, and group my data cards</t>
  </si>
  <si>
    <t>To compare paper and computer-based databases</t>
  </si>
  <si>
    <t>- I can choose which field to sort data by to answer a given question
- I can explain what a ‘field’ and a ‘record’ is in a database
- I can navigate a flat-file database to compare different views of information</t>
  </si>
  <si>
    <t>To outline how grouping and then sorting data allows us to answer questions</t>
  </si>
  <si>
    <t>- I can combine grouping and sorting to answer more specific questions
- I can explain how information can be grouped
- I can group information to answer questions</t>
  </si>
  <si>
    <t>To explain that tools can be used to select specific data</t>
  </si>
  <si>
    <t>-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</si>
  <si>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</si>
  <si>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I can explain the benefits of using a computer to create graphs
- I can refine a chart by selecting a particular filter
- I can select an appropriate chart to visually compare data</t>
  </si>
  <si>
    <t>To apply my knowledge of a database to ask and answer real-world questions</t>
  </si>
  <si>
    <t>- I can ask questions that will need more than one field to answer
- I can present my findings to a group
- I can refine a search in a real-world context</t>
  </si>
  <si>
    <t>Programming A – Selection in physical computing</t>
  </si>
  <si>
    <t>To control a simple circuit connected to a computer</t>
  </si>
  <si>
    <t>- I can create a simple circuit and connect it to a microcontroller
- I can explain what an infinite loop does
- I can program a microcontroller to make an LED switch on</t>
  </si>
  <si>
    <t>CS,PG</t>
  </si>
  <si>
    <t>To write a program that includes count-controlled loops</t>
  </si>
  <si>
    <t>- I can connect more than one output component to a microcontroller
- I can design sequences that use count-controlled loops
- I can use a count-controlled loop to control outputs</t>
  </si>
  <si>
    <t>To explain that a loop can stop when a condition is met</t>
  </si>
  <si>
    <t>- I can design a conditional loop
- I can explain that a condition is either true or  
- I can program a microcontroller to respond to an input</t>
  </si>
  <si>
    <t>To explain that a loop can be used to repeatedly check whether a condition has been met</t>
  </si>
  <si>
    <t>- I can explain that a condition being met can start an action
- I can identify a condition and an action in my project
- I can use selection (an ‘if…then…’ statement) to direct the flow of a program</t>
  </si>
  <si>
    <t>To design a physical project that includes selection</t>
  </si>
  <si>
    <t>- I can create a detailed drawing of my project
- I can describe what my project will do
- I can identify a real-world example of a condition starting an action</t>
  </si>
  <si>
    <t>CS,DD,PG</t>
  </si>
  <si>
    <t>To create a program that controls a physical computing project</t>
  </si>
  <si>
    <t>- I can test and debug my project
- I can use selection to produce an intended outcome
- I can write an algorithm that describes what my model will do</t>
  </si>
  <si>
    <t>Programming B – Selection in quizzes</t>
  </si>
  <si>
    <t>To explain how selection is used in computer programs</t>
  </si>
  <si>
    <t>- I can identify conditions in a program
- I can modify a condition in a program
- I can recall how conditions are used in selection</t>
  </si>
  <si>
    <t>To relate that a conditional statement connects a condition to an outcome</t>
  </si>
  <si>
    <t>- I can create a program with different outcomes using selection
- I can identify the condition and outcomes in an 'if... then… else...' statement
- I can use selection in an infinite loop to check a condition</t>
  </si>
  <si>
    <t>To explain how selection directs the flow of a program</t>
  </si>
  <si>
    <t>- I can design the flow of a program which contains ‘if… then… else…’
- I can explain that program flow can branch according to a condition
- I can show that a condition can direct program flow in one of two ways</t>
  </si>
  <si>
    <t>To design a program which uses selection</t>
  </si>
  <si>
    <t>- I can identify the outcome of user input in an algorithm
- I can outline a given task
- I can use a design format to outline my project</t>
  </si>
  <si>
    <t>To create a program which uses selection</t>
  </si>
  <si>
    <t>- I can implement my algorithm to create the first section of my program
- I can share my program with others
- I can test my program</t>
  </si>
  <si>
    <t>To evaluate my program</t>
  </si>
  <si>
    <t>- I can extend my program further
- I can identify the setup code I need in my program
- I can identify ways the program could be improved</t>
  </si>
  <si>
    <t>Computing systems and networks – Communication</t>
  </si>
  <si>
    <t>To identify how to use a search engine</t>
  </si>
  <si>
    <t>- I can compare results from different search engines
- I can complete a web search to find specific information
- I can refine my search</t>
  </si>
  <si>
    <t>2.1,2.4,2.5,2.6,2.7</t>
  </si>
  <si>
    <t>To describe how search engines select results</t>
  </si>
  <si>
    <t>- I can explain why we need tools to find things online
- I can recognise the role of web crawlers in creating an index
- I can relate a search term to the search engine’s index</t>
  </si>
  <si>
    <t>To explain how search results are ranked</t>
  </si>
  <si>
    <t>- I can explain that a search engine follows rules to rank relevant pages
- I can explain that search results are ordered
- I can suggest some of the criteria that a search engine checks to decide on the order of results</t>
  </si>
  <si>
    <t>To recognise why the order of results is important, and to whom</t>
  </si>
  <si>
    <t>- I can describe some of the ways that search results can be influenced
- I can explain how search engines make money
- I can recognise some of the limitations of search engines</t>
  </si>
  <si>
    <t>ET,IT,NW</t>
  </si>
  <si>
    <t>To recognise how we communicate using technology</t>
  </si>
  <si>
    <t>- I can choose methods of communication to suit particular purposes
- I can explain the different ways in which people communicate
- I can identify that there are a variety of ways of communicating over the internet</t>
  </si>
  <si>
    <t>To evaluate different methods of online communication</t>
  </si>
  <si>
    <t>- I can compare different methods of communicating on the internet
- I can decide when I should and should not share
- I can explain that communication on the internet may not be private</t>
  </si>
  <si>
    <t>Creating media – 3D Modelling</t>
  </si>
  <si>
    <t>To use a computer to create and manipulate three-dimensional (3D) digital objects</t>
  </si>
  <si>
    <t>- I can discuss the similarities and differences between 2D and 3D shapes
- I can explain why we might represent 3D objects on a computer
- I can select, move, and delete a digital 3D shape</t>
  </si>
  <si>
    <t>To compare working digitally with 2D and 3D graphics</t>
  </si>
  <si>
    <t>- I can change the colour of a 3D object
- I can identify how graphical objects can be modified
- I can resize a 3D object</t>
  </si>
  <si>
    <t>To construct a digital 3D model of a physical object</t>
  </si>
  <si>
    <t>- I can position 3D objects in relation to each other
- I can rotate a 3D object
- I can select and duplicate multiple 3D objects</t>
  </si>
  <si>
    <t>To identify that physical objects can be broken down into a collection of 3D shapes</t>
  </si>
  <si>
    <t>- I can create digital 3D objects of an appropriate size
- I can group a digital 3D shape and a placeholder to create a hole in an object
- I can identify the 3D shapes needed to create a model of a real-world object</t>
  </si>
  <si>
    <t>To design a digital model by combining 3D objects</t>
  </si>
  <si>
    <t>- I can choose which 3D objects I need to construct my model
- I can modify multiple 3D objects
- I can plan my 3D model</t>
  </si>
  <si>
    <t>To develop and improve a digital 3D model</t>
  </si>
  <si>
    <t>- I can decide how my model can be improved
- I can evaluate my model against a given criterion
- I can modify my model to improve it</t>
  </si>
  <si>
    <t>Creating media – Web page creation</t>
  </si>
  <si>
    <t>To review an existing website and consider its structure</t>
  </si>
  <si>
    <t>- I can discuss the different types of media used on websites
- I can explore a website
- I know that websites are written in HTML</t>
  </si>
  <si>
    <t>CM,DD,NW</t>
  </si>
  <si>
    <t>To plan the features of a web page</t>
  </si>
  <si>
    <t>- I can draw a web page layout that suits my purpose
- I can recognise the common features of a web page
- I can suggest media to include on my page</t>
  </si>
  <si>
    <t>To consider the ownership and use of images (copyright)</t>
  </si>
  <si>
    <t>- I can describe what is meant by the term ‘fair use’
- I can find copyright-free images
- I can say why I should use copyright-free images</t>
  </si>
  <si>
    <t>CM,DD,SS</t>
  </si>
  <si>
    <t>To recognise the need to preview pages</t>
  </si>
  <si>
    <t>- I can add content to my own web page
- I can evaluate what my web page looks like on different devices and suggest/make edits
- I can preview what my web page looks like</t>
  </si>
  <si>
    <t>To outline the need for a navigation path</t>
  </si>
  <si>
    <t>- I can describe why navigation paths are useful
- I can explain what a navigation path is
- I can make multiple web pages and link them using hyperlinks</t>
  </si>
  <si>
    <t>CM,DD,ET,NW</t>
  </si>
  <si>
    <t>To recognise the implications of linking to content owned by other people</t>
  </si>
  <si>
    <t>- I can create hyperlinks to link to other people's work
- I can evaluate the user experience of a website
- I can explain the implication of linking to content owned by others</t>
  </si>
  <si>
    <t>CM,DD,ET,IT,NW</t>
  </si>
  <si>
    <t>Data and information – Spreadsheets</t>
  </si>
  <si>
    <t>To identify questions which can be answered using data</t>
  </si>
  <si>
    <t>- I can answer questions from an existing data set
- I can ask simple relevant questions which can be answered using data
- I can explain the relevance of data headings</t>
  </si>
  <si>
    <t>To explain that objects can be described using data</t>
  </si>
  <si>
    <t>- I can apply an appropriate number format to a cell
- I can build a data set in a spreadsheet application
- I can explain what an item of data is</t>
  </si>
  <si>
    <t>To explain that formulas can be used to produce calculated data</t>
  </si>
  <si>
    <t>- I can construct a formula in a spreadsheet
- I can explain the relevance of a cell’s data type
- I can identify that changing inputs changes outputs</t>
  </si>
  <si>
    <t>DI,ET,PG</t>
  </si>
  <si>
    <t>To apply formulas to data, including duplicating</t>
  </si>
  <si>
    <t>- I can apply a formula to multiple cells by duplicating it
- I can create a formula which includes a range of cells
- I can recognise that data can be calculated using different operations</t>
  </si>
  <si>
    <t>To create a spreadsheet to plan an event</t>
  </si>
  <si>
    <t>- I can apply a formula to calculate the data I need to answer questions
- I can explain why data should be organised
- I can use a spreadsheet to answer questions</t>
  </si>
  <si>
    <t>To choose suitable ways to present data</t>
  </si>
  <si>
    <t>- I can produce a graph
- I can suggest when to use a table or graph
- I can use a graph to show the answer to questions</t>
  </si>
  <si>
    <t>Programming A – Variables in games</t>
  </si>
  <si>
    <t>To define a ‘variable’ as something that is changeable</t>
  </si>
  <si>
    <t>- I can explain that the way that a variable changes can be defined
- I can identify examples of information that is variable
- I can identify that variables can hold numbers or letters</t>
  </si>
  <si>
    <t>To explain why a variable is used in a program</t>
  </si>
  <si>
    <t>- I can explain that a variable has a name and a value
- I can identify a program variable as a placeholder in memory for a single value
- I can recognise that the value of a variable can be changed</t>
  </si>
  <si>
    <t>To choose how to improve a game by using variables</t>
  </si>
  <si>
    <t>- I can decide where in a program to change a variable
- I can make use of an event in a program to set a variable
- I can recognise that the value of a variable can be used by a program</t>
  </si>
  <si>
    <t>To design a project that builds on a given example</t>
  </si>
  <si>
    <t>- I can choose the artwork for my project
- I can create algorithms for my project
- I can explain my design choices</t>
  </si>
  <si>
    <t>To use my design to create a project</t>
  </si>
  <si>
    <t>- I can choose a name that identifies the role of a variable
- I can create the artwork for my project
- I can test the code that I have written</t>
  </si>
  <si>
    <t>To evaluate my project</t>
  </si>
  <si>
    <t>- I can extend my game further using more variables
- I can identify ways that my game could be improved
- I can share my game with others</t>
  </si>
  <si>
    <t>Programming B – Sensing</t>
  </si>
  <si>
    <t>To create a program to run on a controllable device</t>
  </si>
  <si>
    <t>- I can apply my knowledge of programming to a new environment
- I can test my program on an emulator
- I can transfer my program to a controllable device</t>
  </si>
  <si>
    <t>To explain that selection can control the flow of a program</t>
  </si>
  <si>
    <t>- I can determine the flow of a program using selection
- I can identify examples of conditions in the real world
- I can use a variable in an if, then, else statement to select the flow of a program</t>
  </si>
  <si>
    <t>To update a variable with a user input</t>
  </si>
  <si>
    <t>- I can experiment with different physical inputs
- I can explain that if you read a variable, the value remains
- I can use a condition to change a variable</t>
  </si>
  <si>
    <t>To use an conditional statement to compare a variable to a value</t>
  </si>
  <si>
    <t>- I can explain the importance of the order of conditions in else, if statements
- I can modify a program to achieve a different outcome
- I can use an operand (e.g. &lt;&gt;=) in an if, then statement</t>
  </si>
  <si>
    <t>To design a project that uses inputs and outputs on a controllable device</t>
  </si>
  <si>
    <t>- I can decide what variables to include in a project
- I can design the algorithm for my project
- I can design the program flow for my project</t>
  </si>
  <si>
    <t>To develop a program to use inputs and outputs on a controllable device</t>
  </si>
  <si>
    <t>- I can create a program based on my design
- I can test my program against my design
- I can use a range of approaches to find and fix bugs</t>
  </si>
  <si>
    <t>Impact of technology – Collaborating online respectfully</t>
  </si>
  <si>
    <t>- Create a memorable and secure password for an account on the school network</t>
  </si>
  <si>
    <t>3.8,3.9</t>
  </si>
  <si>
    <t>ET,SS</t>
  </si>
  <si>
    <t>- Remember the rules of the computing lab</t>
  </si>
  <si>
    <t>- Find personal documents and common applications</t>
  </si>
  <si>
    <t>- Recognise a respectful email</t>
  </si>
  <si>
    <t>- Construct an effective email and send it to the correct recipients</t>
  </si>
  <si>
    <t>- Describe how to communicate with peers online</t>
  </si>
  <si>
    <t>- Plan effective presentations for a given audience</t>
  </si>
  <si>
    <t>- Describe cyberbullying</t>
  </si>
  <si>
    <t>IT,SS</t>
  </si>
  <si>
    <t>- Explain the effects of cyberbullying</t>
  </si>
  <si>
    <t>- Check who you are talking to online</t>
  </si>
  <si>
    <t>Modelling data – Spreadsheets</t>
  </si>
  <si>
    <t>- Identify columns, rows, cells, and cell references in spreadsheet software</t>
  </si>
  <si>
    <t>3.1,3.7</t>
  </si>
  <si>
    <t>- Use formatting techniques in a spreadsheet</t>
  </si>
  <si>
    <t>- Use basic formulas with cell references to perform calculations in a spreadsheet (+, -, *, /)</t>
  </si>
  <si>
    <t>- Use the autofill tool to replicate cell data</t>
  </si>
  <si>
    <t>- Explain the difference between data and information</t>
  </si>
  <si>
    <t>- Explain the difference between primary and secondary sources of data</t>
  </si>
  <si>
    <t>- Collect data</t>
  </si>
  <si>
    <t>- Analyse data</t>
  </si>
  <si>
    <t>- Create appropriate charts in a spreadsheet</t>
  </si>
  <si>
    <t>- Use the functions SUM, COUNTA, MAX, and MIN in a spreadsheet</t>
  </si>
  <si>
    <t>- Use a spreadsheet to sort and filter data</t>
  </si>
  <si>
    <t>- Use the functions AVERAGE, COUNTIF, and IF in a spreadsheet</t>
  </si>
  <si>
    <t>- Use conditional formatting in a spreadsheet</t>
  </si>
  <si>
    <t>- Apply all of the spreadsheet skills covered in this unit</t>
  </si>
  <si>
    <t>Networks from semaphores to the Internet</t>
  </si>
  <si>
    <t>- Define what a computer network is and explain how data is transmitted between computers across networks</t>
  </si>
  <si>
    <t>- Define ‘protocol’ and provide examples of non-networking protocols</t>
  </si>
  <si>
    <t>- List examples of the hardware necessary for connecting devices to networks</t>
  </si>
  <si>
    <t>- Compare wired to wireless connections and list examples of specific technologies currently used to implement such connections</t>
  </si>
  <si>
    <t>- Define ‘bandwidth’, using the appropriate units for measuring the rate at which data is transmitted, and discuss familiar examples where bandwidth is important</t>
  </si>
  <si>
    <t>- Define what the internet is</t>
  </si>
  <si>
    <t>- Explain how data travels between computers across the internet</t>
  </si>
  <si>
    <t>- Describe key words such as ‘protocols’, ‘packets’, and ‘addressing’</t>
  </si>
  <si>
    <t>- Explain the difference between the internet, its services, and the World Wide Web</t>
  </si>
  <si>
    <t>- Describe how services are provided over the internet</t>
  </si>
  <si>
    <t>- List some of these services and the context in which they are used</t>
  </si>
  <si>
    <t>- Explain the term ‘connectivity’ as the capacity for connected devices (‘Internet of Things’) to collect and share information about me with or without my knowledge (including microphones, cameras, and geolocation)</t>
  </si>
  <si>
    <t>- Describe how internet-connected devices can affect me</t>
  </si>
  <si>
    <t>- Describe components (servers, browsers, pages, HTTP and HTTPS protocols, etc.) and how they work together</t>
  </si>
  <si>
    <t>Programming essentials in Scratch – part I</t>
  </si>
  <si>
    <t>- Compare how humans and computers understand instructions (understand and carry out)</t>
  </si>
  <si>
    <t>3.2,3.3,3.4,3.8</t>
  </si>
  <si>
    <t>- Define a sequence as instructions performed in order, with each executed in turn</t>
  </si>
  <si>
    <t>- Predict the outcome of a simple sequence</t>
  </si>
  <si>
    <t>- Modify a sequence</t>
  </si>
  <si>
    <t>- Define a variable as a name that refers to data being stored by the computer</t>
  </si>
  <si>
    <t>- Recognise that computers follow the control flow of input/process/output</t>
  </si>
  <si>
    <t>- Predict the outcome of a simple sequence that includes variables</t>
  </si>
  <si>
    <t>- Trace the values of variables within a sequence</t>
  </si>
  <si>
    <t>- Make a sequence that includes a variable</t>
  </si>
  <si>
    <t>- Define a condition as an expression that will be evaluated as either true or false</t>
  </si>
  <si>
    <t>- Identify that selection uses conditions to control the flow of a sequence</t>
  </si>
  <si>
    <t>- Identify where selection statements can be used in a program</t>
  </si>
  <si>
    <t>- Modify a program to include selection</t>
  </si>
  <si>
    <t>- Create conditions that use comparison operators (&gt;,&lt;,=)</t>
  </si>
  <si>
    <t>- Create conditions that use logic operators (and/or/not)</t>
  </si>
  <si>
    <t>- Identify where selection statements can be used in a program that include comparison and logical operators</t>
  </si>
  <si>
    <t>- Define iteration as a group of instructions that are repeatedly executed</t>
  </si>
  <si>
    <t>- Describe the need for iteration</t>
  </si>
  <si>
    <t>- Identify where count-controlled iteration can be used in a program</t>
  </si>
  <si>
    <t>- Implement count-controlled iteration in a program</t>
  </si>
  <si>
    <t>- Detect and correct errors in a program (debugging)</t>
  </si>
  <si>
    <t>- Independently design and apply programming constructs to solve a problem (subroutine, selection, count-controlled iteration, operators, and variables)</t>
  </si>
  <si>
    <t>Programming essentials in Scratch – part II</t>
  </si>
  <si>
    <t>- Define a subroutine as a group of instructions that will run when called by the main program or other subroutines</t>
  </si>
  <si>
    <t>- Define decomposition as breaking a problem down into smaller, more manageable subproblems</t>
  </si>
  <si>
    <t>- Identify how subroutines can be used for decomposition</t>
  </si>
  <si>
    <t>- Identify where condition-controlled iteration can be used in a program</t>
  </si>
  <si>
    <t>- Implement condition-controlled iteration in a program</t>
  </si>
  <si>
    <t>- Evaluate which type of iteration is required in a program</t>
  </si>
  <si>
    <t>- Define a list as a collection of related elements that are referred to by a single name</t>
  </si>
  <si>
    <t>- Describe the need for lists</t>
  </si>
  <si>
    <t>- Identify when lists can be used in a program</t>
  </si>
  <si>
    <t>- Use a list</t>
  </si>
  <si>
    <t>- Decompose a larger problem into smaller subproblems</t>
  </si>
  <si>
    <t>- Apply appropriate constructs to solve a problem</t>
  </si>
  <si>
    <t>Using media – Gaining support for a cause</t>
  </si>
  <si>
    <t>- Select the most appropriate software to use to complete a task</t>
  </si>
  <si>
    <t>3.7,3.8</t>
  </si>
  <si>
    <t>- Identify the key features of a word processor</t>
  </si>
  <si>
    <t>- Apply the key features of a word processor to format a document</t>
  </si>
  <si>
    <t>- Evaluate formatting techniques to understand why we format documents</t>
  </si>
  <si>
    <t>DD,ET</t>
  </si>
  <si>
    <t>- Select appropriate images for a given context</t>
  </si>
  <si>
    <t>- Apply appropriate formatting techniques</t>
  </si>
  <si>
    <t>- Demonstrate an understanding of licensing issues involving online content by applying appropriate Creative Commons licences</t>
  </si>
  <si>
    <t>- Demonstrate the ability to credit the original source of an image</t>
  </si>
  <si>
    <t>- Critique digital content for credibility</t>
  </si>
  <si>
    <t>- Apply techniques in order to identify whether or not a source is credible</t>
  </si>
  <si>
    <t>- Apply referencing techniques and understand the concept of plagiarism</t>
  </si>
  <si>
    <t>- Evaluate online sources for use in own work</t>
  </si>
  <si>
    <t>CM,IT</t>
  </si>
  <si>
    <t>- Construct a blog using appropriate software</t>
  </si>
  <si>
    <t>- Organise the content of the blog based on credible sources</t>
  </si>
  <si>
    <t>- Apply referencing techniques that credit authors appropriately</t>
  </si>
  <si>
    <t>- Design the layout of the content to make it suitable for the audience</t>
  </si>
  <si>
    <t>- Organise the content of blog based on credible sources</t>
  </si>
  <si>
    <t>- Recall that a general-purpose computing system is a device for executing programs</t>
  </si>
  <si>
    <t>3.4,3.5,3.6</t>
  </si>
  <si>
    <t>- Recall that a program is a sequence of instructions that specify operations that are to be performed on data</t>
  </si>
  <si>
    <t>- Explain the difference between a general-purpose computing system and a purpose-built device</t>
  </si>
  <si>
    <t>- Describe the function of the hardware components used in computing systems</t>
  </si>
  <si>
    <t>- Describe how the hardware components used in computing systems work together in order to execute programs</t>
  </si>
  <si>
    <t>- Recall that all computing systems, regardless of form, have a similar structure (‘architecture’)</t>
  </si>
  <si>
    <t>- Analyse how the hardware components used in computing systems work together in order to execute programs</t>
  </si>
  <si>
    <t>- Define what an operating system is, and recall its role in controlling program execution</t>
  </si>
  <si>
    <t>- Describe the NOT, AND, and OR logical operators, and how they are used to form logical expressions</t>
  </si>
  <si>
    <t>- Use logic gates to construct logic circuits, and associate these with logical operators and expressions</t>
  </si>
  <si>
    <t>- Describe how hardware is built out of increasingly complex logic circuits</t>
  </si>
  <si>
    <t>- Recall that, since hardware is built out of logic circuits, data and instructions alike need to be represented using binary digits</t>
  </si>
  <si>
    <t>CS,DI,PG</t>
  </si>
  <si>
    <t>- Provide broad definitions of ‘artificial intelligence’ and ‘machine learning’</t>
  </si>
  <si>
    <t>- Identify examples of artificial intelligence and machine learning in the real world</t>
  </si>
  <si>
    <t>- Describe the steps involved in training machines to perform tasks (gathering data, training, testing)</t>
  </si>
  <si>
    <t>- Describe how machine learning differs from traditional programming</t>
  </si>
  <si>
    <t>- Associate the use of artificial intelligence with moral dilemmas</t>
  </si>
  <si>
    <t>- Explain the implications of sharing program code</t>
  </si>
  <si>
    <t>IT,PG</t>
  </si>
  <si>
    <t>Developing for the web</t>
  </si>
  <si>
    <t>- Describe what HTML is</t>
  </si>
  <si>
    <t>- Use HTML to structure static web pages</t>
  </si>
  <si>
    <t>CM,PG</t>
  </si>
  <si>
    <t>- Modify HTML tags using inline styling to improve the appearance of web pages</t>
  </si>
  <si>
    <t>CM,DD,PG</t>
  </si>
  <si>
    <t>- Display images within a web page</t>
  </si>
  <si>
    <t>- Apply HTML tags to construct a web page structure from a provided design</t>
  </si>
  <si>
    <t>- Describe what CSS is</t>
  </si>
  <si>
    <t>- Use CSS to style static web pages</t>
  </si>
  <si>
    <t>- Assess the benefits of using CSS to style pages instead of in-line formatting</t>
  </si>
  <si>
    <t>CM,ET,PG</t>
  </si>
  <si>
    <t>- Describe what a search engine is</t>
  </si>
  <si>
    <t>- Explain how search engines ‘crawl’ through the World Wide Web and how they select and rank results</t>
  </si>
  <si>
    <t>AL,CS,NW</t>
  </si>
  <si>
    <t>- Analyse how search engines select and rank results when searches are made</t>
  </si>
  <si>
    <t>AL,NW</t>
  </si>
  <si>
    <t>- Use search technologies effectively</t>
  </si>
  <si>
    <t>- Discuss the impact of search technologies and the issues that arise by the way they function and the way they are used</t>
  </si>
  <si>
    <t>ET,NW,SS</t>
  </si>
  <si>
    <t>- Create hyperlinks to allow users to navigate between multiple web pages</t>
  </si>
  <si>
    <t>- Implement navigation to complete a functioning website</t>
  </si>
  <si>
    <t>- Complete summative assessment</t>
  </si>
  <si>
    <t>DI,ET,IT</t>
  </si>
  <si>
    <t>Introduction to Python programming</t>
  </si>
  <si>
    <t>- Describe what algorithms and programs are and how they differ</t>
  </si>
  <si>
    <t>3.1,3.2,3.3,3.6</t>
  </si>
  <si>
    <t>- Recall that a program written in a programming language needs to be translated in order to be executed by a machine</t>
  </si>
  <si>
    <t>- Write simple Python programs that display messages, assign values to variables, and receive keyboard input</t>
  </si>
  <si>
    <t>- Locate and correct common syntax errors</t>
  </si>
  <si>
    <t>- Describe the semantics of assignment statements</t>
  </si>
  <si>
    <t>- Use simple arithmetic expressions in assignment statements to calculate values</t>
  </si>
  <si>
    <t>- Receive input from the keyboard and convert it to a numerical value</t>
  </si>
  <si>
    <t>- Use relational operators to form logical expressions</t>
  </si>
  <si>
    <t>- Use binary selection (if, else statements) to control the flow of program execution</t>
  </si>
  <si>
    <t>- Generate and use random integers</t>
  </si>
  <si>
    <t>- Use multi-branch selection (if, elif, else statements) to control the flow of program execution</t>
  </si>
  <si>
    <t>- Describe how iteration (while statements) controls the flow of program execution</t>
  </si>
  <si>
    <t>- Use iteration (while loops) to control the flow of program execution</t>
  </si>
  <si>
    <t>- Use variables as counters in iterative programs</t>
  </si>
  <si>
    <t>- Combine iteration and selection to control the flow of program execution</t>
  </si>
  <si>
    <t>- Use Boolean variables as flags</t>
  </si>
  <si>
    <t>Media – Vector graphics</t>
  </si>
  <si>
    <t>- Draw basic shapes (rectangle, ellipse, polygon, star) with different properties (fill and stroke, shape-specific attributes)</t>
  </si>
  <si>
    <t>- Manipulate individual objects (select, move, resize, rotate, duplicate, flip, z-order)</t>
  </si>
  <si>
    <t>- Manipulate groups of objects (select, group/ungroup, align, distribute)</t>
  </si>
  <si>
    <t>- Combine paths by applying operations (union, difference, intersection)</t>
  </si>
  <si>
    <t>- Convert objects to paths</t>
  </si>
  <si>
    <t>- Draw paths</t>
  </si>
  <si>
    <t>- Edit path nodes</t>
  </si>
  <si>
    <t>- Combine multiple tools and techniques to create a vector graphic design</t>
  </si>
  <si>
    <t>- Explain what vector graphics are</t>
  </si>
  <si>
    <t>- Provide examples where using vector graphics would be appropriate</t>
  </si>
  <si>
    <t>- Peer assess another pair’s project work</t>
  </si>
  <si>
    <t>- Improve your own project work based on feedback</t>
  </si>
  <si>
    <t>- Complete a summative assessment</t>
  </si>
  <si>
    <t>Mobile app development</t>
  </si>
  <si>
    <t>- Identify when a problem needs to be broken down</t>
  </si>
  <si>
    <t>3.1,3.2,3.3,3.8</t>
  </si>
  <si>
    <t>- Implement and customise GUI elements to meet the needs of the user</t>
  </si>
  <si>
    <t>DD,ET,PG</t>
  </si>
  <si>
    <t>- Recognise that events can control the flow of a program</t>
  </si>
  <si>
    <t>- Use user input in an event-driven programming environment</t>
  </si>
  <si>
    <t>- Use variables in an event-driven programming environment</t>
  </si>
  <si>
    <t>- Develop a partially complete application to include additional functionality</t>
  </si>
  <si>
    <t>- Identify and fix common coding errors</t>
  </si>
  <si>
    <t>- Pass the value of a variable into an object</t>
  </si>
  <si>
    <t>- Establish user needs when completing a creative project</t>
  </si>
  <si>
    <t>- Apply decomposition to break down a large problem into more manageable steps</t>
  </si>
  <si>
    <t>- Use user input in a block-based programming language</t>
  </si>
  <si>
    <t>- Use a block-based programming language to create a sequence</t>
  </si>
  <si>
    <t>- Use variables in a block-based programming language</t>
  </si>
  <si>
    <t>- Use a block-based programming language to include sequencing and selection</t>
  </si>
  <si>
    <t>- Reflect and react to user feedback</t>
  </si>
  <si>
    <t>- Evaluate the success of the programming project</t>
  </si>
  <si>
    <t>Representations – from clay to silicon</t>
  </si>
  <si>
    <t>- List examples of representations</t>
  </si>
  <si>
    <t>- Recall that representations are used to store, communicate, and process information</t>
  </si>
  <si>
    <t>- Provide examples of how different representations are appropriate for different tasks</t>
  </si>
  <si>
    <t>- Recall that characters can be represented as sequences of symbols and list examples of character coding schemes</t>
  </si>
  <si>
    <t>- Measure the length of a representation as the number of symbols that it contains</t>
  </si>
  <si>
    <t>- Provide examples of how symbols are carried on physical media</t>
  </si>
  <si>
    <t>- Explain what binary digits (bits) are, in terms of familiar symbols such as digits or letters</t>
  </si>
  <si>
    <t>- Measure the size or length of a sequence of bits as the number of binary digits that it contains</t>
  </si>
  <si>
    <t>- Describe how natural numbers are represented as sequences of binary digits</t>
  </si>
  <si>
    <t>- Convert a decimal number to binary and vice versa</t>
  </si>
  <si>
    <t>- Convert between different units and multiples of representation size</t>
  </si>
  <si>
    <t>- Provide examples of the different ways that binary digits are physically represented in digital devices</t>
  </si>
  <si>
    <t>- Apply all of the skills covered in this unit</t>
  </si>
  <si>
    <t>- Managing online information
- Privacy and security</t>
  </si>
  <si>
    <t>- Critique online services in relation to data privacy</t>
  </si>
  <si>
    <t>DD,SS</t>
  </si>
  <si>
    <t>- Identify what happens to data entered online</t>
  </si>
  <si>
    <t>DI,NW,SS</t>
  </si>
  <si>
    <t>- Explain the need for the Data Protection Act</t>
  </si>
  <si>
    <t>DI,IT,SS</t>
  </si>
  <si>
    <t>- Recognise how human errors pose security risks to data</t>
  </si>
  <si>
    <t>DI,SS</t>
  </si>
  <si>
    <t>- Implement strategies to minimise the risk of data being compromised through human error</t>
  </si>
  <si>
    <t>- Define hacking in the context of cyber security</t>
  </si>
  <si>
    <t>IT,PG,SS</t>
  </si>
  <si>
    <t>- Explain how a DDoS attack can impact users of online services</t>
  </si>
  <si>
    <t>- Identify strategies to reduce the chance of a brute force attack being successful</t>
  </si>
  <si>
    <t>NW,PG,SS</t>
  </si>
  <si>
    <t>- Explain the need for the Computer Misuse Act</t>
  </si>
  <si>
    <t>- List the common malware threats</t>
  </si>
  <si>
    <t>CS,IT,SS</t>
  </si>
  <si>
    <t>- Examine how different types of malware causes problems for computer systems</t>
  </si>
  <si>
    <t>- Question how malicious bots can have an impact on societal issues</t>
  </si>
  <si>
    <t>- Compare security threats against probability and the potential impact to organisations</t>
  </si>
  <si>
    <t>- Explain how networks can be protected from common security threats</t>
  </si>
  <si>
    <t>- Identify the most effective methods to prevent cyberattacks</t>
  </si>
  <si>
    <t>Data science</t>
  </si>
  <si>
    <t>- Define data science</t>
  </si>
  <si>
    <t>- Explain how visualising data can help identify patterns and trends in order to help us gain insights</t>
  </si>
  <si>
    <t>- Use an appropriate software tool to visualise data sets and look for patterns or trends</t>
  </si>
  <si>
    <t>- Recognise examples of where large data sets are used in daily life</t>
  </si>
  <si>
    <t>DI,IT</t>
  </si>
  <si>
    <t>- Select criteria and use data set to investigate predictions</t>
  </si>
  <si>
    <t>- Evaluate findings to support arguments for or against a prediction</t>
  </si>
  <si>
    <t>- Define the terms ‘correlation’ and ‘outliers’ in relation to data trends</t>
  </si>
  <si>
    <t>- Identify the steps of the investigative cycle</t>
  </si>
  <si>
    <t>- Solve a problem by implementing steps of the investigative cycle on a data set</t>
  </si>
  <si>
    <t>- Use findings to support a recommendation</t>
  </si>
  <si>
    <t>- Identify the data needed to answer a question defined by the learner</t>
  </si>
  <si>
    <t>- Create a data capture form</t>
  </si>
  <si>
    <t>- Describe the need for data cleansing</t>
  </si>
  <si>
    <t>- Apply data cleansing techniques to a data set</t>
  </si>
  <si>
    <t>- Visualise a data set</t>
  </si>
  <si>
    <t>- Analyse visualisations to identify patterns, trends, and outliers</t>
  </si>
  <si>
    <t>- Draw conclusions and report findings</t>
  </si>
  <si>
    <t>Media – Animations</t>
  </si>
  <si>
    <t>- Add, delete, and move objects</t>
  </si>
  <si>
    <t>- Scale and rotate objects</t>
  </si>
  <si>
    <t>- Use a material to add colour to objects</t>
  </si>
  <si>
    <t>- Add, move, and delete keyframes to make basic animations</t>
  </si>
  <si>
    <t>- Play, pause, and move through the animation using the timeline</t>
  </si>
  <si>
    <t>- Create useful names for objects</t>
  </si>
  <si>
    <t>- Join multiple objects together using parenting</t>
  </si>
  <si>
    <t>- Use edit mode and extrude</t>
  </si>
  <si>
    <t>- Use loop cut and face editing</t>
  </si>
  <si>
    <t>- Apply different colours to different parts of the same model</t>
  </si>
  <si>
    <t>- Use proportional editing</t>
  </si>
  <si>
    <t>- Use the knife tool</t>
  </si>
  <si>
    <t>- Use subdivision</t>
  </si>
  <si>
    <t>- Add and edit set lighting</t>
  </si>
  <si>
    <t>- Set up the camera</t>
  </si>
  <si>
    <t>- Compare different render modes</t>
  </si>
  <si>
    <t>- Create a 3–10 second animation</t>
  </si>
  <si>
    <t>- Render out the animation</t>
  </si>
  <si>
    <t>Physical computing</t>
  </si>
  <si>
    <t>- Describe what the micro:bit is</t>
  </si>
  <si>
    <t>- List the micro:bit’s input and output devices</t>
  </si>
  <si>
    <t>- Use a development environment to write, execute, and debug a Python program for the micro:bit</t>
  </si>
  <si>
    <t>AL,CS,ET,PG</t>
  </si>
  <si>
    <t>- Write programs that use the micro:bit’s built-in input and output devices</t>
  </si>
  <si>
    <t>AL,CS,PG</t>
  </si>
  <si>
    <t>- Write programs that use GPIO pins to generate output and receive input</t>
  </si>
  <si>
    <t>- Write programs that communicate with other devices by sending and receiving messages wirelessly</t>
  </si>
  <si>
    <t>AL,CS,NW,PG</t>
  </si>
  <si>
    <t>- Design a physical computing artifact purposefully, keeping in mind the problem at hand, the needs of the audience involved, and the available resources</t>
  </si>
  <si>
    <t>CS,DD</t>
  </si>
  <si>
    <t>- Decompose the functionality of a physical computing system into simpler features</t>
  </si>
  <si>
    <t>- Implement a physical computing project, while following, revising, and refining the project plan</t>
  </si>
  <si>
    <t>AL,CS,DD,DI,ET,PG</t>
  </si>
  <si>
    <t>Python programming with sequences of data</t>
  </si>
  <si>
    <t>- Write programs that display messages, receive keyboard input, and use simple arithmetic expressions in assignment statements</t>
  </si>
  <si>
    <t>- Create lists and access individual list items</t>
  </si>
  <si>
    <t>AL,DI,PG</t>
  </si>
  <si>
    <t>- Use selection (**if-elif-else* statements) to control the flow of program execution</t>
  </si>
  <si>
    <t>- Perform common operations on lists or individual items</t>
  </si>
  <si>
    <t>- Use iteration (while statements) to control the flow of program execution</t>
  </si>
  <si>
    <t>- Perform common operations on strings or individual characters</t>
  </si>
  <si>
    <t>- Use iteration (for statements) to iterate over list items</t>
  </si>
  <si>
    <t>- Perform common operations on lists or strings</t>
  </si>
  <si>
    <t>DI,PG</t>
  </si>
  <si>
    <t>- Use iteration (for loops) to iterate over lists and strings</t>
  </si>
  <si>
    <t>- Use variables to keep track of counts and sums</t>
  </si>
  <si>
    <t>- Combine key programming language features to develop solutions to meaningful problems</t>
  </si>
  <si>
    <t>Representations – going audiovisual</t>
  </si>
  <si>
    <t>- Describe how digital images are composed of individual elements</t>
  </si>
  <si>
    <t>- Recall that the colour of each picture element is represented using a sequence of binary digits</t>
  </si>
  <si>
    <t>- Define key terms such as ‘pixels’, ‘resolution’, and ‘colour depth’</t>
  </si>
  <si>
    <t>- Describe how an image can be represented as a sequence of bits</t>
  </si>
  <si>
    <t>- Describe how colour can be represented as a mixture of red, green, and blue, with a sequence of bits representing each colour’s intensity</t>
  </si>
  <si>
    <t>- Compute the representation size of a digital image, by multiplying resolution (number of pixels) with colour depth (number of bits used to represent the colour of individual pixels)</t>
  </si>
  <si>
    <t>- Describe the trade-off between representation size and perceived quality for digital images</t>
  </si>
  <si>
    <t>- Perform basic image editing tasks using appropriate software and combine them in order to solve more complex problems requiring image manipulation</t>
  </si>
  <si>
    <t>- Explain how the manipulation of digital images amounts to arithmetic operations on their digital representation</t>
  </si>
  <si>
    <t>- Describe and assess the creative benefits and ethical drawbacks of digital manipulation [Education for a Connected World](https://www.gov.uk/government/publications/education-for-a-connected-world)</t>
  </si>
  <si>
    <t>CM,DI,IT</t>
  </si>
  <si>
    <t>- Recall that sound is a wave</t>
  </si>
  <si>
    <t>- Explain the function of microphones and speakers as components that capture and generate sound</t>
  </si>
  <si>
    <t>- Define key terms such as ‘sample’, ‘sampling frequency/rate’, ‘sample size’</t>
  </si>
  <si>
    <t>- Describe how sounds are represented as sequences of bits</t>
  </si>
  <si>
    <t>- Calculate representation size for a given digital sound, given its attributes</t>
  </si>
  <si>
    <t>- Explain how attributes such as sampling frequency and sample size affect characteristics such as representation size and perceived quality, and the trade-offs involved</t>
  </si>
  <si>
    <t xml:space="preserve">- Perform basic sound editing tasks using appropriate software and combine them in order to solve more complex problems requiring sound manipulation
</t>
  </si>
  <si>
    <t>- Recall that bitmap images and pulse code sound are not the only binary representations of images and sound available</t>
  </si>
  <si>
    <t>- Define ‘compression’, and describe why it is necessary</t>
  </si>
  <si>
    <t>Non-GCSE</t>
  </si>
  <si>
    <t>IT and the world of work</t>
  </si>
  <si>
    <t>Examine traditional and modern team working</t>
  </si>
  <si>
    <t>DD,IT</t>
  </si>
  <si>
    <t>Interpret the advantages and disadvantages of 24/7/365 availability</t>
  </si>
  <si>
    <t>Compare inclusivity and accessibility within traditional and modern teams</t>
  </si>
  <si>
    <t>Examine modern technology tools that assist inclusivity and accessibility</t>
  </si>
  <si>
    <t>Explore communication tools</t>
  </si>
  <si>
    <t>DD,ET,IT</t>
  </si>
  <si>
    <t>Evaluate collaborative working</t>
  </si>
  <si>
    <t>Recall collaboration and communication platforms</t>
  </si>
  <si>
    <t>Evaluate effective online communication</t>
  </si>
  <si>
    <t>Formulate a proposal that identifies essential skills for the modern workplace</t>
  </si>
  <si>
    <t>Assess the functions and features of cloud computing</t>
  </si>
  <si>
    <t>Justify the selection of communication platforms</t>
  </si>
  <si>
    <t>Evaluate the security of using the cloud for storage and document/data creation</t>
  </si>
  <si>
    <t>Recognise methods of creating a network when mobile or remote working</t>
  </si>
  <si>
    <t>Evaluate the advantages and disadvantages of ad hoc networks</t>
  </si>
  <si>
    <t>Judge the security of ad hoc networks</t>
  </si>
  <si>
    <t>Evaluate the impact of mental well-being on individuals</t>
  </si>
  <si>
    <t>Evaluate the impact of physical well-being on individuals</t>
  </si>
  <si>
    <t>Create a positive working environment</t>
  </si>
  <si>
    <t>IT project management</t>
  </si>
  <si>
    <t>Define the term project management</t>
  </si>
  <si>
    <t>4.1,4.2</t>
  </si>
  <si>
    <t>Identify why the use of project management is important</t>
  </si>
  <si>
    <t>Select appropriate project management methodologies</t>
  </si>
  <si>
    <t>Analyse a project brief</t>
  </si>
  <si>
    <t>Identify the user requirements of a project</t>
  </si>
  <si>
    <t>Evaluate the constraints of a project</t>
  </si>
  <si>
    <t>Identify objectives relating to a project</t>
  </si>
  <si>
    <t>Develop objectives into SMART goals</t>
  </si>
  <si>
    <t>Define ‘iteration’ and ‘interaction’</t>
  </si>
  <si>
    <t>Create a Gantt chart</t>
  </si>
  <si>
    <t>Create a PERT chart</t>
  </si>
  <si>
    <t>Evaluate planning tools</t>
  </si>
  <si>
    <t>Create an appropriate spreadsheet for a project</t>
  </si>
  <si>
    <t>Evaluate a spreadsheet</t>
  </si>
  <si>
    <t>Follow a design plan</t>
  </si>
  <si>
    <t>Create visual media</t>
  </si>
  <si>
    <t>Assess the effectiveness of planning for the visual elements of a project</t>
  </si>
  <si>
    <t>Evaluate the overall success of a completed project</t>
  </si>
  <si>
    <t>Test the effectiveness of developed products</t>
  </si>
  <si>
    <t>Develop documentation for the first stage of a project</t>
  </si>
  <si>
    <t>Create planning documents for a project</t>
  </si>
  <si>
    <t>Create project products</t>
  </si>
  <si>
    <t>Develop testing documentation</t>
  </si>
  <si>
    <t>Evaluate a completed project</t>
  </si>
  <si>
    <t>Media</t>
  </si>
  <si>
    <t>Describe the term ‘pre-production’</t>
  </si>
  <si>
    <t>Compare planning tools available for pre-production</t>
  </si>
  <si>
    <t>Create pre-production planning materials</t>
  </si>
  <si>
    <t>Describe the two main types of digital graphics: raster and vector</t>
  </si>
  <si>
    <t>Name associated file formats for types of digital graphics</t>
  </si>
  <si>
    <t>Utilise open source software to create both types of digital graphics</t>
  </si>
  <si>
    <t>Identify the resources required for creating digital graphics</t>
  </si>
  <si>
    <t>Recognise the legislation regarding use of digital graphics</t>
  </si>
  <si>
    <t>Name the different camera angles used in video production</t>
  </si>
  <si>
    <t>Recognise different file formats and properties of digital video</t>
  </si>
  <si>
    <t>Utilise the software required for digital video creation</t>
  </si>
  <si>
    <t>Discuss the features and properties of websites</t>
  </si>
  <si>
    <t>Plan a multi-page website</t>
  </si>
  <si>
    <t>Create a multi-page website using open source tools</t>
  </si>
  <si>
    <t>Plan a digital media artefact from a selected client brief</t>
  </si>
  <si>
    <t>Create media artefacts</t>
  </si>
  <si>
    <t>Evaluate design decisions for media artefacts</t>
  </si>
  <si>
    <t>Describe the role of conventions in programming</t>
  </si>
  <si>
    <t>Recall that there are different paradigms for programming</t>
  </si>
  <si>
    <t>Define object-oriented programming</t>
  </si>
  <si>
    <t>Identify a class and object as a part of a program</t>
  </si>
  <si>
    <t>Describe the relationship between a class and an object</t>
  </si>
  <si>
    <t>Define attributes and methods as a part of a class</t>
  </si>
  <si>
    <t>Use a constructor to create objects</t>
  </si>
  <si>
    <t>Use a method and access an attribute on an object</t>
  </si>
  <si>
    <t>Model a real world problem using object oriented programming conventions</t>
  </si>
  <si>
    <t>Create a class</t>
  </si>
  <si>
    <t>Define the use of a self parameter in object-oriented Python</t>
  </si>
  <si>
    <t>Create a method on a class</t>
  </si>
  <si>
    <t>Access and modify attributes using getters and setters</t>
  </si>
  <si>
    <t>Define the principle of inheritance</t>
  </si>
  <si>
    <t>Define the terms superclass and subclass</t>
  </si>
  <si>
    <t>Select appropriate uses of inheritance</t>
  </si>
  <si>
    <t>Create a subclass in a program</t>
  </si>
  <si>
    <t>Explore a program written using OOP</t>
  </si>
  <si>
    <t>Explain the key concepts of OOP</t>
  </si>
  <si>
    <t>Online safety</t>
  </si>
  <si>
    <t>Discuss the main safety concerns of being online</t>
  </si>
  <si>
    <t>Reflect on online activity from a safety perspective</t>
  </si>
  <si>
    <t>Define online reputation and discuss what it is made up of</t>
  </si>
  <si>
    <t>Discuss techniques on how to build a positive online reputation</t>
  </si>
  <si>
    <t>Discuss the ways in which one’s online reputation might be under threat and how to defend it</t>
  </si>
  <si>
    <t>Define the terms ‘big data’ and ‘data analytics’</t>
  </si>
  <si>
    <t>Discuss the ethics of big data use</t>
  </si>
  <si>
    <t>Investigate the stakeholders who use big data and why</t>
  </si>
  <si>
    <t>Explain how data is collected on and how it is used</t>
  </si>
  <si>
    <t>Investigate the legal rights to privacy within the UK</t>
  </si>
  <si>
    <t>Discuss which rights are believed to be upheld</t>
  </si>
  <si>
    <t>Debate whether the right to privacy is important, why this might be the case, and if the right to privacy is in tension with any other rights</t>
  </si>
  <si>
    <t>Evaluate what data created online is valuable, and to whom</t>
  </si>
  <si>
    <t>Discuss ways in which data might be stolen</t>
  </si>
  <si>
    <t>Define terms ‘phishing’ and ‘malware’</t>
  </si>
  <si>
    <t>Identify ways to protect one’s data online</t>
  </si>
  <si>
    <t>Discuss examples of disinformation spread online</t>
  </si>
  <si>
    <t>Define the term ‘fake news’ and discuss the quantity of fake news available online</t>
  </si>
  <si>
    <t>Identify why fake news exists and who creates it</t>
  </si>
  <si>
    <t>Discuss ways of identifying fake news and other forms of disinformation</t>
  </si>
  <si>
    <t>Explain why some content online can be potentially harmful</t>
  </si>
  <si>
    <t>Describe the UK laws governing online content</t>
  </si>
  <si>
    <t>Discuss why policing online spaces can be difficult</t>
  </si>
  <si>
    <t>Demonstrate how to report illegal online content</t>
  </si>
  <si>
    <t>Discuss how we decide what content should be illegal</t>
  </si>
  <si>
    <t>Debate the right to access information in the context of safety concerns online already discussed in this unit</t>
  </si>
  <si>
    <t>Compare UK laws with those in other countries</t>
  </si>
  <si>
    <t>Discover different technologies used to access and share information online</t>
  </si>
  <si>
    <t>Reflect on how big data and other tools help to target information to specific users</t>
  </si>
  <si>
    <t>Discuss the impact this might have on different people’s online experiences and the potential disadvantages of living in an online bubble</t>
  </si>
  <si>
    <t>Contemplate the potential harms of being online</t>
  </si>
  <si>
    <t>Determine practical actions that can be made to protect oneself online</t>
  </si>
  <si>
    <t>Summarise key aspects of online safety</t>
  </si>
  <si>
    <t>CS,DI,IT,NW,SS</t>
  </si>
  <si>
    <t>Spreadsheets</t>
  </si>
  <si>
    <t>Create a spreadsheet model for a given scenario</t>
  </si>
  <si>
    <t>Demonstrate how to use formulae to perform calculations</t>
  </si>
  <si>
    <t>Apply cell formatting</t>
  </si>
  <si>
    <t>Implement formatting to make the spreadsheet readable and to highlight different specific information</t>
  </si>
  <si>
    <t>Use data validation when entering data in order to reduce user error</t>
  </si>
  <si>
    <t>Implement conditional formatting techniques</t>
  </si>
  <si>
    <t>Format cells correctly, e.g. cells representing money should be currency, etc.</t>
  </si>
  <si>
    <t>Select the most suitable chart to visualise the selected data</t>
  </si>
  <si>
    <t>Recognise the importance of clear titles and labels</t>
  </si>
  <si>
    <t>Implement and test a macro to carry out a repetitive task</t>
  </si>
  <si>
    <t>Implement a LOOKUP function to retrieve data</t>
  </si>
  <si>
    <t>Implement an IF function to give the user feedback</t>
  </si>
  <si>
    <t>Demonstrate that skills developed in the lessons can be applied to a different scenario</t>
  </si>
  <si>
    <t>Solve problems using transferable skills</t>
  </si>
  <si>
    <t>Think widely about the uses for and purposes of spreadsheets</t>
  </si>
  <si>
    <t>GCSE</t>
  </si>
  <si>
    <t>Algorithms part 1</t>
  </si>
  <si>
    <t>Define the terms decomposition, abstraction and algorithmic thinking</t>
  </si>
  <si>
    <t>Recognise scenarios where each of these computational thinking techniques are applied</t>
  </si>
  <si>
    <t>Apply decomposition, abstraction and algorithmic thinking to help solve a problem</t>
  </si>
  <si>
    <t>Describe the difference between algorithms and computer programs</t>
  </si>
  <si>
    <t>Identify algorithms that are defined as written descriptions, flowcharts and code</t>
  </si>
  <si>
    <t>Analyse and create flowcharts using the flowchart symbols</t>
  </si>
  <si>
    <t>Use a trace table to walk through code that contains a while loop, a for loop and a list of items</t>
  </si>
  <si>
    <t>Use a trace table to detect and correct errors in a program</t>
  </si>
  <si>
    <t>Algorithms part 2</t>
  </si>
  <si>
    <t>Identify why computers often need to search data</t>
  </si>
  <si>
    <t>Describe how linear search is used for finding the position of an item in a list of items</t>
  </si>
  <si>
    <t>Perform a linear search to find the position of an item in a list</t>
  </si>
  <si>
    <t>Describe how binary search is used for finding the position of an item in a list of items</t>
  </si>
  <si>
    <t>Perform a binary search to find the position of an item in a list</t>
  </si>
  <si>
    <t>Identify scenarios when a binary search can and cannot be carried out</t>
  </si>
  <si>
    <t>Compare the features of linear and binary search and decide which is most suitable in a given context</t>
  </si>
  <si>
    <t>Interpret the code for linear search and binary search</t>
  </si>
  <si>
    <t>Trace code for both searching algorithms with input data</t>
  </si>
  <si>
    <t>Identify why computers often need to sort data</t>
  </si>
  <si>
    <t>Traverse a list of items, swapping the items that are out of order</t>
  </si>
  <si>
    <t>Perform a bubble sort to order a list containing sample data</t>
  </si>
  <si>
    <t>Insert an item into an ordered list of items</t>
  </si>
  <si>
    <t>Describe how insertion sort is used for ordering a list of items</t>
  </si>
  <si>
    <t>Perform an insertion sort to order a list containing sample data</t>
  </si>
  <si>
    <t>Interpret the code for bubble sort and insertion sort</t>
  </si>
  <si>
    <t>Trace code for both sorting algorithms with input data</t>
  </si>
  <si>
    <t>Identify factors that could influence the efficiency of a bubble sort implementation</t>
  </si>
  <si>
    <t>Merge two ordered lists of items into a new ordered list</t>
  </si>
  <si>
    <t>Describe how merge sort is used for ordering a list of items</t>
  </si>
  <si>
    <t>Perform a merge sort to order a list containing sample data</t>
  </si>
  <si>
    <t>Interpret algorithms and suggest improvements</t>
  </si>
  <si>
    <t>Analyse and fix errors in a flowchart</t>
  </si>
  <si>
    <t>Perform searching and sorting algorithms on samples of data</t>
  </si>
  <si>
    <t>Develop a linear search function in Python</t>
  </si>
  <si>
    <t>Complete the end of unit assessment</t>
  </si>
  <si>
    <t>Understand the difference between embedded and general purpose computer systems</t>
  </si>
  <si>
    <t>4.1,4.2,4.3</t>
  </si>
  <si>
    <t>Describe the role of system software as part of a computer system</t>
  </si>
  <si>
    <t>Explore the role of the operating system and utility software</t>
  </si>
  <si>
    <t>Describe the basic components of the CPU</t>
  </si>
  <si>
    <t>Understand the roles and purpose of each component of the CPU in computation</t>
  </si>
  <si>
    <t>Explain how the fetch-decode-execute cycle works by describing what happens at each stage</t>
  </si>
  <si>
    <t>Describe the role of each part of the CPU as part of the fetch-decode-execute cycle</t>
  </si>
  <si>
    <t>Describe the characteristics of RAM and ROM</t>
  </si>
  <si>
    <t>Explain the role of main memory as part of a computer system</t>
  </si>
  <si>
    <t>Define cache memory</t>
  </si>
  <si>
    <t>Describe the role of cache in a computer system</t>
  </si>
  <si>
    <t>Explain why a computer system needs secondary storage</t>
  </si>
  <si>
    <t>State the different types of secondary storage and describe their functional characteristics</t>
  </si>
  <si>
    <t>State how solid-state memory works and describe its characteristics</t>
  </si>
  <si>
    <t>Explain how optical and magnetic memory stores data in the form of binary</t>
  </si>
  <si>
    <t>Describe how data is read from and written to optical and magnetic memory</t>
  </si>
  <si>
    <t>Apply knowledge of storage devices to compare the three mediums of storage</t>
  </si>
  <si>
    <t>Apply the knowledge of storage devices to recommend an appropriate device</t>
  </si>
  <si>
    <t>Describe the limitations of secondary storage</t>
  </si>
  <si>
    <t>Explain the definition of ‘cloud storage’ and describe the characteristics of cloud storage</t>
  </si>
  <si>
    <t>Explore the factors that impact a CPU’s performance</t>
  </si>
  <si>
    <t>Select components to create a computer system</t>
  </si>
  <si>
    <t>Evaluate a computer’s suitability for a given task</t>
  </si>
  <si>
    <t>Revise computer systems content covered so far</t>
  </si>
  <si>
    <t>Design and implement a software project</t>
  </si>
  <si>
    <t>Discover the logic gates AND, NOT, and OR, including their symbols and truth tables</t>
  </si>
  <si>
    <t>AL,CS</t>
  </si>
  <si>
    <t>Learn how logic gates are used in carrying out computation</t>
  </si>
  <si>
    <t>Design a logical circuit, combining logic gates to solve a problem</t>
  </si>
  <si>
    <t>Construct truth tables for a three-input logic circuit</t>
  </si>
  <si>
    <t>Write a Boolean expression to describe a logical circuit</t>
  </si>
  <si>
    <t>Describe how combinations of logic gates can perform mathematical operations</t>
  </si>
  <si>
    <t>Explain the basic commands in the LMC’s assembly code: INP, OUT, STA, LDA, ADD, SUB, and BRP</t>
  </si>
  <si>
    <t>Determine that assembly language has a 1:1 relationship with machine code</t>
  </si>
  <si>
    <t>Design and write your own program in assembly language</t>
  </si>
  <si>
    <t>Define the terms cybersecurity and network security, explain their importance, and distinguish between the two</t>
  </si>
  <si>
    <t>4.1,4.3</t>
  </si>
  <si>
    <t>Describe the features of a network that make it vulnerable to attack</t>
  </si>
  <si>
    <t>Describe the impact of cybercrime on businesses and individuals</t>
  </si>
  <si>
    <t>Analyse an attack on a company and identify what motivated the hackers</t>
  </si>
  <si>
    <t>Demonstrate knowledge of social engineering in role play and case studies</t>
  </si>
  <si>
    <t>Identify and describe non-automated forms of cyberattack and how humans can be the weak points in an organisation</t>
  </si>
  <si>
    <t>Analyse a real cyberattack and identify the network or software weaknesses that enabled it to happen</t>
  </si>
  <si>
    <t>Describe automated forms of cyberattack</t>
  </si>
  <si>
    <t>Describe ways in which organisations use software to protect against cyberattacks</t>
  </si>
  <si>
    <t>Identify how software can be used to protect from cyberattacks</t>
  </si>
  <si>
    <t>CS,DD,NW,SS</t>
  </si>
  <si>
    <t>Describe different ways to protect software systems and networks (2 of 2)</t>
  </si>
  <si>
    <t>Understand the need for, and importance of, network security</t>
  </si>
  <si>
    <t>Explain a number of methods of achieving network security</t>
  </si>
  <si>
    <t>Describe different methods of identifying cybersecurity vulnerabilities, such as: penetration testing, ethical hacking, network forensics, commercial analysis tools, review of network and user policies</t>
  </si>
  <si>
    <t>Evaluate the potential for cybersecurity careers</t>
  </si>
  <si>
    <t>Apply knowledge of cybersecurity to GCSE-style questions</t>
  </si>
  <si>
    <t>CS,DD,IT,NW,SS</t>
  </si>
  <si>
    <t>Describe a database</t>
  </si>
  <si>
    <t>Define database key terms (table, record, field, primary key, foreign key)</t>
  </si>
  <si>
    <t>Describe a flat file database</t>
  </si>
  <si>
    <t>Describe a relational database</t>
  </si>
  <si>
    <t>Describe the function of SQL</t>
  </si>
  <si>
    <t>Use SQL to retrieve data from a table in a relational database</t>
  </si>
  <si>
    <t>Use SQL to retrieve data from more than one table in a relational database</t>
  </si>
  <si>
    <t>Describe the function of different data types.</t>
  </si>
  <si>
    <t>Use SQL to insert, update and delete data into a relational database</t>
  </si>
  <si>
    <t>Interrogate and update an existing database</t>
  </si>
  <si>
    <t>Data representations</t>
  </si>
  <si>
    <t>Give examples of the use of representation</t>
  </si>
  <si>
    <t>Explain how binary relates to two-state electrical signals</t>
  </si>
  <si>
    <t>Work out what range of numbers can be stored in a specific number of bits</t>
  </si>
  <si>
    <t>Explain the concept of a number base</t>
  </si>
  <si>
    <t>Convert a positive binary integer to decimal</t>
  </si>
  <si>
    <t>Convert a decimal number to binary</t>
  </si>
  <si>
    <t>Define the term ‘bit’</t>
  </si>
  <si>
    <t>Perform binary shifts (logical)</t>
  </si>
  <si>
    <t>Perform binary addition</t>
  </si>
  <si>
    <t>Explain why overflow might occur</t>
  </si>
  <si>
    <t>Define the term ‘byte’</t>
  </si>
  <si>
    <t>Explain how numbers are represented using hexadecimal</t>
  </si>
  <si>
    <t>Convert decimal numbers to and from hexadecimal</t>
  </si>
  <si>
    <t>Explain why and where hexadecimal notation is used</t>
  </si>
  <si>
    <t>Be able to convert binary numbers to and from hexadecimal</t>
  </si>
  <si>
    <t>Define the term ‘nibble’</t>
  </si>
  <si>
    <t>Explain how ASCII is used to represent characters, and its limitations</t>
  </si>
  <si>
    <t>Explain what a character set is</t>
  </si>
  <si>
    <t>Explain the need for Unicode</t>
  </si>
  <si>
    <t>Be able to calculate the number of bits needed to store a piece of text</t>
  </si>
  <si>
    <t>Describe what a pixel is and how pixels relate to images</t>
  </si>
  <si>
    <t>Explain how bitmaps are used to represent images</t>
  </si>
  <si>
    <t>Convert between binary data and black and white bitmaps</t>
  </si>
  <si>
    <t>Explain the relationship between resolution, colour depth, and file size for images</t>
  </si>
  <si>
    <t>Describe colour depth and resolution, and how they impact on image quality</t>
  </si>
  <si>
    <t>Define the terms ‘bit’, ‘nibble’, ‘byte’, ‘megabyte’, ‘gigabyte’, ‘terabyte’, and ‘petabyte’</t>
  </si>
  <si>
    <t>Be able to convert between units of measurement</t>
  </si>
  <si>
    <t>Explain the difference between raster and vector graphics</t>
  </si>
  <si>
    <t>Describe the use of metadata in image files</t>
  </si>
  <si>
    <t>Explain why analogue sound data needs to be converted to discrete values</t>
  </si>
  <si>
    <t>Describe the concepts of sampling, sample rate, and sample resolution</t>
  </si>
  <si>
    <t>Describe the use of metadata in sound files</t>
  </si>
  <si>
    <t>Calculate file size requirements for sound files</t>
  </si>
  <si>
    <t>Create a simple web page using basic tags</t>
  </si>
  <si>
    <t>CM,NW,PG</t>
  </si>
  <si>
    <t>Describe the purpose of HTML and tags when designing a website</t>
  </si>
  <si>
    <t>Describe what is meant by the term ‘accessibility’</t>
  </si>
  <si>
    <t>DD,IT,NW</t>
  </si>
  <si>
    <t>Extend a HTML page to include images &lt;img&gt; and hyperlinks &lt;a href&gt;</t>
  </si>
  <si>
    <t>Identify the common features of existing websites and the basics of what makes good web design</t>
  </si>
  <si>
    <t>DD,NW,PG</t>
  </si>
  <si>
    <t>Design and create pages for a mini website</t>
  </si>
  <si>
    <t>CM,DD,NW,PG</t>
  </si>
  <si>
    <t>Create hyperlinks between pages stored locally within a folder</t>
  </si>
  <si>
    <t>Insert images stored locally within a folder</t>
  </si>
  <si>
    <t>Experiment with CSS by changing the style of the tags learnt so far in this unit</t>
  </si>
  <si>
    <t>Describe the purpose of CSS and why it is needed in addition to HTML</t>
  </si>
  <si>
    <t>Apply knowledge of CSS to DIVs within web pages using classes</t>
  </si>
  <si>
    <t>Describe the purpose of DIV tags</t>
  </si>
  <si>
    <t>Apply skills to position items within a page</t>
  </si>
  <si>
    <t>Explain how to plan a website by developing house style and sketched wireframe</t>
  </si>
  <si>
    <t>Describe the box model in CSS</t>
  </si>
  <si>
    <t>Self/peer evaluate the webpage produced using a rubric</t>
  </si>
  <si>
    <t>Construct a three-page website to showcase the skills learned throughout this unit of study</t>
  </si>
  <si>
    <t>Extend/finish the assessed website</t>
  </si>
  <si>
    <t>Showcase the assessed website</t>
  </si>
  <si>
    <t>Demonstrate how much has been learnt by taking an end of unit test</t>
  </si>
  <si>
    <t>Apply the terms ‘privacy’, ‘legal’, ‘ethical’, ‘environmental’, and ‘cultural’</t>
  </si>
  <si>
    <t>Explain data legislation, including an organisation’s obligation to protect and supply data</t>
  </si>
  <si>
    <t>Explain the term ‘stakeholder’</t>
  </si>
  <si>
    <t>Explain the right to be forgotten</t>
  </si>
  <si>
    <t>Distinguish the differences between legitimate creative uses and clear infringement of material subject to copyright</t>
  </si>
  <si>
    <t>Explain the Freedom of Information Act</t>
  </si>
  <si>
    <t>Define ‘computer misuse’ and the associated offences</t>
  </si>
  <si>
    <t>Identify situations that would be classified as an offence under the Act</t>
  </si>
  <si>
    <t>Define ‘downtime’ and explain the associated impact on an organisation</t>
  </si>
  <si>
    <t>Explain what is meant by the ‘digital divide’ and measures to mitigate its effect</t>
  </si>
  <si>
    <t>Identify positive and negative aspects of the use of mobile technology</t>
  </si>
  <si>
    <t>Identify the implications of having personal data online</t>
  </si>
  <si>
    <t>Explain the social and environmental impacts of social media</t>
  </si>
  <si>
    <t>Explain the positive and negative effects of online content</t>
  </si>
  <si>
    <t>Explain the environmental effects of the use of technology</t>
  </si>
  <si>
    <t>Explain the ethical issues surrounding the use of AI in society</t>
  </si>
  <si>
    <t>AL,IT,PG</t>
  </si>
  <si>
    <t>Explain the ethical impact of using algorithms to make decisions</t>
  </si>
  <si>
    <t>Demonstrate knowledge of the five impacts of technology</t>
  </si>
  <si>
    <t>Define what networks are</t>
  </si>
  <si>
    <t>Describe the hardware components required to build networks of devices</t>
  </si>
  <si>
    <t>Analyse the benefits and problems associated with networks</t>
  </si>
  <si>
    <t>Explain how devices can be connected to a network either through a wired or wireless connection</t>
  </si>
  <si>
    <t>Define MAC addresses and their use in networks</t>
  </si>
  <si>
    <t>Analyse specific examples including Ethernet and Wi-Fi</t>
  </si>
  <si>
    <t>Explain the importance of connectivity in modern computing systems</t>
  </si>
  <si>
    <t>List and describe the different types of networks depending on node distribution, including personal, local, and wide area networks</t>
  </si>
  <si>
    <t>List, describe, and compare the different types of networks depending on topology, such as ring, star, and bus</t>
  </si>
  <si>
    <t>List, describe, and compare the different types of communication models encountered in networks, such as server–client and peer-to-peer</t>
  </si>
  <si>
    <t>Define and describe the internet</t>
  </si>
  <si>
    <t>Define the WWW and describe its main components</t>
  </si>
  <si>
    <t>Define and explain the concept of a networking protocol</t>
  </si>
  <si>
    <t>List and explain standard internet protocols in the application layer, such as HTTP, HTTPS, FTP, DNS, SMTP, POP, and IMAP</t>
  </si>
  <si>
    <t>Explain and describe the advantages and disadvantages of circuit switching and packet switching</t>
  </si>
  <si>
    <t>List and explain the four different layers associated with the Internet Protocol: link, network/internet, transport, and application</t>
  </si>
  <si>
    <t>Explain the Internet Protocol in the internet layer</t>
  </si>
  <si>
    <t>List and explain standard internet protocols in the transport layer, such as TCP and UDP</t>
  </si>
  <si>
    <t>Describe how network data speeds are measured, and the factors affecting network performance</t>
  </si>
  <si>
    <t>Define what virtual networks are, and how they are used to maintain network performance</t>
  </si>
  <si>
    <t>Explain why networks are a target for criminals, and what some of the tools available to defend against attacks are</t>
  </si>
  <si>
    <t>Physical computing project</t>
  </si>
  <si>
    <t>Define the term physical computing</t>
  </si>
  <si>
    <t>Explain the term embedded systems</t>
  </si>
  <si>
    <t>Create and test a working circuit</t>
  </si>
  <si>
    <t>Explore how to add functionality using a motor controller</t>
  </si>
  <si>
    <t>DD,CS,PG</t>
  </si>
  <si>
    <t>Interact with real-world objects using code and additional hardware</t>
  </si>
  <si>
    <t>Use basic materials and tools to create a prototype</t>
  </si>
  <si>
    <t>Understand how ultrasonic sound waves work</t>
  </si>
  <si>
    <t>DI,CS,PG</t>
  </si>
  <si>
    <t>Combine inputs and outputs to solve a problem</t>
  </si>
  <si>
    <t>DD,PG,AL,CS</t>
  </si>
  <si>
    <t>Understand how reflective optical sensors work</t>
  </si>
  <si>
    <t>DI,CS</t>
  </si>
  <si>
    <t>Process input data to monitor and react to the environment</t>
  </si>
  <si>
    <t>DI,PG,CS</t>
  </si>
  <si>
    <t>Synchronise the behaviour of physical hardware components for a given situation</t>
  </si>
  <si>
    <t>DI,DD,CS,AL,PG</t>
  </si>
  <si>
    <t>Programming part 1 - Sequence</t>
  </si>
  <si>
    <t>Compare how humans and computers interpret instructions</t>
  </si>
  <si>
    <t>Explain the differences between high- and low-level programming languages</t>
  </si>
  <si>
    <t>Describe why translators are necessary</t>
  </si>
  <si>
    <t>List the differences, benefits and drawbacks of using a compiler or an interpreter</t>
  </si>
  <si>
    <t>Use subroutines in programs</t>
  </si>
  <si>
    <t>Define a sequence as instructions performed in order, with each executed in turn</t>
  </si>
  <si>
    <t>Predict the outcome of a sequence and modify it</t>
  </si>
  <si>
    <t>Interpret error messages and define error types and identify them in programs (logic, syntax)</t>
  </si>
  <si>
    <t>Describe the tools an IDE provides (editors, error diagnostics, run-time environment, translators)</t>
  </si>
  <si>
    <t>Use meaningful identifiers</t>
  </si>
  <si>
    <t>Determine the need for variables</t>
  </si>
  <si>
    <t>Distinguish between declaration, initialisation and assignment of variables</t>
  </si>
  <si>
    <t>Demonstrate appropriate use of naming conventions</t>
  </si>
  <si>
    <t>Output data (e.g. print (my_var))</t>
  </si>
  <si>
    <t>Obtain input from the keyboard in a program</t>
  </si>
  <si>
    <t>Differentiate between the data types; integer, real, Boolean, character, string</t>
  </si>
  <si>
    <t>Cast variables by calling a function that will return a new value of the desired data type</t>
  </si>
  <si>
    <t>Define runtime errors in programs</t>
  </si>
  <si>
    <t>Define validation checks</t>
  </si>
  <si>
    <t>Identify flowchart symbols and describe how to use them (start, end, input, output, subroutine)</t>
  </si>
  <si>
    <t>Translate a flowchart into a program sequence</t>
  </si>
  <si>
    <t>Design a flowchart for a program</t>
  </si>
  <si>
    <t>Programming part 2 - Selection</t>
  </si>
  <si>
    <t>Be able to locate information using the language documentation</t>
  </si>
  <si>
    <t>Import modules into your code</t>
  </si>
  <si>
    <t>Demonstrate how to generate random numbers</t>
  </si>
  <si>
    <t>Evaluate arithmetic expressions using rules of operator precedence (BIDMAS)</t>
  </si>
  <si>
    <t>Write and use expressions that use arithmetic operators (add, subtract, multiply, real division, integer division, MOD, to the power)</t>
  </si>
  <si>
    <t>Assign expressions to variables</t>
  </si>
  <si>
    <t xml:space="preserve">Define a condition as an expression that can be evaluated to either True or </t>
  </si>
  <si>
    <t>Identify flowchart symbols and describe how to use them (decision)</t>
  </si>
  <si>
    <t>Identify that selection uses conditions to control the flow of execution</t>
  </si>
  <si>
    <t>Walkthrough code that includes selection (if, elif, else)</t>
  </si>
  <si>
    <t>Use selection statements in a program</t>
  </si>
  <si>
    <t>Identify when selection statements should be used in programs</t>
  </si>
  <si>
    <t>Write and use expressions that use comparison operators (equal to, not equal to, less than, greater than, less than or equal to, greater than or equal to)</t>
  </si>
  <si>
    <t>Describe how Boolean/logical operators can be used in expressions</t>
  </si>
  <si>
    <t>Walkthrough code that use conditions with Boolean/logical operators (AND, OR)</t>
  </si>
  <si>
    <t>Write and use expressions that use Boolean/logical operators (AND, OR)</t>
  </si>
  <si>
    <t>Define nested selection</t>
  </si>
  <si>
    <t>Walk through code that uses nested selection</t>
  </si>
  <si>
    <t>Modify a program that uses nested selection</t>
  </si>
  <si>
    <t>Programming part 3 - Iteration</t>
  </si>
  <si>
    <t>Define iteration as a group of instructions that are repeatedly executed</t>
  </si>
  <si>
    <t>Modify a program to incorporate a while loop</t>
  </si>
  <si>
    <t>Use a trace table to walkthrough code that uses a while loop</t>
  </si>
  <si>
    <t>Use a trace table to detect and correct errors in programs</t>
  </si>
  <si>
    <t>Define a for loop</t>
  </si>
  <si>
    <t>Walk through code that uses a for loop</t>
  </si>
  <si>
    <t>Modify a program that uses a for loop</t>
  </si>
  <si>
    <t>Compare a while loop and a for loop</t>
  </si>
  <si>
    <t>Determine the need for validation checks</t>
  </si>
  <si>
    <t>Use iteration to perform validation checks</t>
  </si>
  <si>
    <t>Describe the purpose of pseudocode</t>
  </si>
  <si>
    <t>Translate pseudocode into a program</t>
  </si>
  <si>
    <t>Design and build a program using pseudocode</t>
  </si>
  <si>
    <t>Programming part 4 - Subroutines</t>
  </si>
  <si>
    <t>Describe a subroutine</t>
  </si>
  <si>
    <t>Describe the purpose of parameters in subroutines</t>
  </si>
  <si>
    <t>Use procedures that accept arguments through parameters</t>
  </si>
  <si>
    <t>Describe how subroutines are used for decomposition</t>
  </si>
  <si>
    <t>List the advantages of subroutines</t>
  </si>
  <si>
    <t>Explain the difference between a function and a procedure</t>
  </si>
  <si>
    <t>Use trace tables to investigate functions</t>
  </si>
  <si>
    <t>Use functions to return values in programs</t>
  </si>
  <si>
    <t>Describe scope of variables</t>
  </si>
  <si>
    <t>Describe how parameters can reduce the need for global variables</t>
  </si>
  <si>
    <t>Identify when to use global variables</t>
  </si>
  <si>
    <t>Describe a constant</t>
  </si>
  <si>
    <t>Use a truth table</t>
  </si>
  <si>
    <t>Describe the function of an XOR operator</t>
  </si>
  <si>
    <t>Design and create a function for an XOR operator</t>
  </si>
  <si>
    <t>Describe the structured approach to programming</t>
  </si>
  <si>
    <t>Explain the advantages of the structured approach</t>
  </si>
  <si>
    <t>Use the structured approach in programming</t>
  </si>
  <si>
    <t>Describe iterative testing</t>
  </si>
  <si>
    <t>Describe the types of testing (erroneous, boundary, normal)</t>
  </si>
  <si>
    <t>Design and create a program</t>
  </si>
  <si>
    <t>Programming part 5 - Strings and lists</t>
  </si>
  <si>
    <t>Define the term GUI</t>
  </si>
  <si>
    <t>Import third-party libraries</t>
  </si>
  <si>
    <t>Use guizero to create an event-driven program that uses a GUI</t>
  </si>
  <si>
    <t>Describe the function of string operators</t>
  </si>
  <si>
    <t>Use string handling techniques</t>
  </si>
  <si>
    <t>Use for loops with string operations</t>
  </si>
  <si>
    <t>Use a substring in a program</t>
  </si>
  <si>
    <t>Use the in operator to check for a substring</t>
  </si>
  <si>
    <t>Use chr() and ord() to perform ASCII conversions</t>
  </si>
  <si>
    <t>Create a program that uses string handling techniques</t>
  </si>
  <si>
    <t>Define a data structure</t>
  </si>
  <si>
    <t>Define a list and an array</t>
  </si>
  <si>
    <t>Describe the differences between lists and arrays</t>
  </si>
  <si>
    <t>Use a list in a program</t>
  </si>
  <si>
    <t>Append to a list</t>
  </si>
  <si>
    <t>Traverse a list of elements</t>
  </si>
  <si>
    <t>Use list methods</t>
  </si>
  <si>
    <t>Create a function that returns a list</t>
  </si>
  <si>
    <t>Import custom built functions</t>
  </si>
  <si>
    <t>Use lists to display output on a physical computing device</t>
  </si>
  <si>
    <t>Use randomisation to append items to a list</t>
  </si>
  <si>
    <t>Define a 2D array and a list</t>
  </si>
  <si>
    <t>Use a 2D list in a program</t>
  </si>
  <si>
    <t>Use a 2D list as part of a programming challenge</t>
  </si>
  <si>
    <t>Programming part 6 - Dictionaries and datafiles</t>
  </si>
  <si>
    <t>Describe the record data structure</t>
  </si>
  <si>
    <t>Use a dictionary to represent a record in a program</t>
  </si>
  <si>
    <t>Use a dictionary with a list to represent records in a database</t>
  </si>
  <si>
    <t>Describe the dictionary data structure</t>
  </si>
  <si>
    <t>Use a dictionary to produce key-value pairs</t>
  </si>
  <si>
    <t>Determine the purpose of external data files</t>
  </si>
  <si>
    <t>Read data from an external text file</t>
  </si>
  <si>
    <t>Write to text files</t>
  </si>
  <si>
    <t>Append to text files</t>
  </si>
  <si>
    <t>Describe a CSV file</t>
  </si>
  <si>
    <t>Read from a CSV file</t>
  </si>
  <si>
    <t>Use the split() method</t>
  </si>
  <si>
    <t>Select data from a collection of values</t>
  </si>
  <si>
    <t>Write data from a 1D list to a CSV file</t>
  </si>
  <si>
    <t>Write data from a 2D list to a CSV file</t>
  </si>
  <si>
    <t>Determine the good habits of a programmer</t>
  </si>
  <si>
    <t>Explore alternative approaches to programming solutions</t>
  </si>
  <si>
    <t>Append to a CSV file</t>
  </si>
  <si>
    <t>Write success criteria for a challenging project</t>
  </si>
  <si>
    <t>Design the program for a challenging project using flowchart or pseudocode</t>
  </si>
  <si>
    <t>Create the solution for the battle boats program</t>
  </si>
  <si>
    <t>Perform final testing of the solution to a challenging problem</t>
  </si>
  <si>
    <t>Evaluate a challenging program</t>
  </si>
  <si>
    <t>RPF Computing Taxonomy</t>
  </si>
  <si>
    <t>The Computing Curriculum GCSE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</si>
</sst>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rgb="FF000000"/>
      <name val="Arial"/>
      <scheme val="minor"/>
    </font>
    <font>
      <b/>
      <sz val="24"/>
      <color theme="1"/>
      <name val="Roboto"/>
    </font>
    <font>
      <sz val="10"/>
      <name val="Arial"/>
      <family val="2"/>
    </font>
    <font>
      <sz val="14"/>
      <color theme="1"/>
      <name val="Roboto"/>
    </font>
    <font>
      <sz val="10"/>
      <color theme="1"/>
      <name val="Roboto"/>
    </font>
    <font>
      <sz val="12"/>
      <color theme="1"/>
      <name val="Roboto"/>
    </font>
    <font>
      <b/>
      <sz val="10"/>
      <color theme="1"/>
      <name val="Roboto"/>
    </font>
    <font>
      <b/>
      <sz val="10"/>
      <color rgb="FFFFFFFF"/>
      <name val="Roboto"/>
    </font>
    <font>
      <b/>
      <sz val="18"/>
      <color rgb="FF000000"/>
      <name val="Docs-Roboto"/>
    </font>
    <font>
      <sz val="10"/>
      <color theme="1"/>
      <name val="Roboto"/>
    </font>
    <font>
      <u/>
      <sz val="12"/>
      <color rgb="FF0000FF"/>
      <name val="Roboto"/>
    </font>
    <font>
      <sz val="10"/>
      <color theme="1"/>
      <name val="Arial"/>
      <family val="2"/>
      <scheme val="minor"/>
    </font>
    <font>
      <b/>
      <sz val="10"/>
      <color theme="1"/>
      <name val="Arial"/>
      <family val="2"/>
      <scheme val="minor"/>
    </font>
    <font>
      <b/>
      <sz val="10"/>
      <color rgb="FF000000"/>
      <name val="Arial"/>
      <family val="2"/>
      <scheme val="minor"/>
    </font>
    <font>
      <sz val="6"/>
      <color rgb="FF000000"/>
      <name val="Arial"/>
      <family val="2"/>
      <scheme val="minor"/>
    </font>
    <font>
      <sz val="10"/>
      <color rgb="FFFF0000"/>
      <name val="Arial"/>
      <family val="2"/>
      <scheme val="minor"/>
    </font>
    <font>
      <sz val="10"/>
      <color rgb="FFFF0000"/>
      <name val="Roboto"/>
    </font>
    <font>
      <sz val="12"/>
      <name val="Roboto"/>
    </font>
    <font>
      <b/>
      <sz val="12"/>
      <name val="Roboto"/>
    </font>
    <font>
      <u/>
      <sz val="12"/>
      <color rgb="FF1155CC"/>
      <name val="Roboto"/>
    </font>
  </fonts>
  <fills count="6">
    <fill>
      <patternFill patternType="none"/>
    </fill>
    <fill>
      <patternFill patternType="gray125"/>
    </fill>
    <fill>
      <patternFill patternType="solid">
        <fgColor rgb="FFCD2355"/>
        <bgColor rgb="FFCD2355"/>
      </patternFill>
    </fill>
    <fill>
      <patternFill patternType="solid">
        <fgColor rgb="FFFFFFFF"/>
        <bgColor rgb="FFFFFFFF"/>
      </patternFill>
    </fill>
    <fill>
      <patternFill patternType="solid">
        <fgColor rgb="FFEFEFEF"/>
        <bgColor rgb="FFEFEFEF"/>
      </patternFill>
    </fill>
    <fill>
      <patternFill patternType="solid">
        <fgColor rgb="FFF3F3F3"/>
        <bgColor rgb="FFF3F3F3"/>
      </patternFill>
    </fill>
  </fills>
  <borders count="1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dotted">
        <color rgb="FFB7B7B7"/>
      </top>
      <bottom style="thin">
        <color rgb="FF000000"/>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top/>
      <bottom style="thick">
        <color rgb="FF000000"/>
      </bottom>
      <diagonal/>
    </border>
    <border>
      <left/>
      <right style="thin">
        <color theme="1"/>
      </right>
      <top/>
      <bottom/>
      <diagonal/>
    </border>
    <border>
      <left/>
      <right style="thin">
        <color theme="1"/>
      </right>
      <top/>
      <bottom style="thick">
        <color rgb="FF000000"/>
      </bottom>
      <diagonal/>
    </border>
    <border>
      <left/>
      <right style="thin">
        <color theme="1"/>
      </right>
      <top/>
      <bottom style="thin">
        <color theme="1"/>
      </bottom>
      <diagonal/>
    </border>
    <border>
      <left/>
      <right/>
      <top/>
      <bottom style="thin">
        <color theme="1"/>
      </bottom>
      <diagonal/>
    </border>
    <border>
      <left style="thin">
        <color rgb="FF000000"/>
      </left>
      <right style="thin">
        <color rgb="FF000000"/>
      </right>
      <top/>
      <bottom style="thin">
        <color theme="1"/>
      </bottom>
      <diagonal/>
    </border>
  </borders>
  <cellStyleXfs count="1">
    <xf numFmtId="0" fontId="0" fillId="0" borderId="0"/>
  </cellStyleXfs>
  <cellXfs count="84">
    <xf numFmtId="0" fontId="0" fillId="0" borderId="0" xfId="0"/>
    <xf numFmtId="0" fontId="3" fillId="0" borderId="6" xfId="0" applyFont="1" applyBorder="1" applyAlignment="1">
      <alignment horizontal="center" vertical="center"/>
    </xf>
    <xf numFmtId="0" fontId="5" fillId="0" borderId="0" xfId="0" applyFont="1" applyAlignment="1">
      <alignment wrapText="1"/>
    </xf>
    <xf numFmtId="0" fontId="6" fillId="0" borderId="0" xfId="0" applyFont="1"/>
    <xf numFmtId="0" fontId="6" fillId="0" borderId="0" xfId="0" applyFont="1" applyAlignment="1">
      <alignment vertical="center" wrapText="1"/>
    </xf>
    <xf numFmtId="0" fontId="6" fillId="0" borderId="0" xfId="0" applyFont="1" applyAlignment="1">
      <alignment horizontal="center"/>
    </xf>
    <xf numFmtId="0" fontId="7" fillId="2" borderId="6" xfId="0" applyFont="1" applyFill="1" applyBorder="1" applyAlignment="1">
      <alignment horizontal="left" vertical="center"/>
    </xf>
    <xf numFmtId="0" fontId="8" fillId="3" borderId="0" xfId="0" applyFont="1" applyFill="1" applyAlignment="1">
      <alignment horizontal="left" vertical="center"/>
    </xf>
    <xf numFmtId="0" fontId="9" fillId="0" borderId="6" xfId="0" applyFont="1" applyBorder="1" applyAlignment="1">
      <alignment horizontal="left" vertical="center" wrapText="1"/>
    </xf>
    <xf numFmtId="0" fontId="9" fillId="0" borderId="0" xfId="0" applyFont="1"/>
    <xf numFmtId="0" fontId="9" fillId="0" borderId="0" xfId="0" applyFont="1" applyAlignment="1">
      <alignment wrapText="1"/>
    </xf>
    <xf numFmtId="0" fontId="3" fillId="0" borderId="0" xfId="0" applyFont="1" applyAlignment="1">
      <alignment horizontal="center" vertical="center"/>
    </xf>
    <xf numFmtId="0" fontId="9" fillId="0" borderId="0" xfId="0" applyFont="1" applyAlignment="1">
      <alignment horizontal="left" vertical="center" wrapText="1"/>
    </xf>
    <xf numFmtId="0" fontId="4" fillId="0" borderId="10" xfId="0" applyFont="1" applyBorder="1" applyAlignment="1">
      <alignment wrapText="1"/>
    </xf>
    <xf numFmtId="0" fontId="12" fillId="0" borderId="8" xfId="0" applyFont="1" applyBorder="1" applyAlignment="1">
      <alignment horizontal="center" wrapText="1"/>
    </xf>
    <xf numFmtId="0" fontId="11" fillId="0" borderId="0" xfId="0" applyFont="1" applyAlignment="1">
      <alignment horizontal="center" vertical="center"/>
    </xf>
    <xf numFmtId="0" fontId="11" fillId="0" borderId="7" xfId="0" applyFont="1" applyBorder="1"/>
    <xf numFmtId="0" fontId="11" fillId="0" borderId="7" xfId="0" applyFont="1" applyBorder="1" applyAlignment="1">
      <alignment horizontal="center" vertical="center"/>
    </xf>
    <xf numFmtId="0" fontId="12" fillId="0" borderId="0" xfId="0" applyFont="1" applyAlignment="1">
      <alignment horizontal="center" wrapText="1"/>
    </xf>
    <xf numFmtId="0" fontId="11" fillId="0" borderId="7" xfId="0" applyFont="1" applyBorder="1" applyAlignment="1">
      <alignment vertical="center" wrapText="1"/>
    </xf>
    <xf numFmtId="0" fontId="11" fillId="0" borderId="9" xfId="0" applyFont="1" applyBorder="1" applyAlignment="1">
      <alignment vertical="center" wrapText="1"/>
    </xf>
    <xf numFmtId="0" fontId="12" fillId="0" borderId="7" xfId="0" applyFont="1" applyBorder="1" applyAlignment="1">
      <alignment horizontal="center" wrapText="1"/>
    </xf>
    <xf numFmtId="0" fontId="12" fillId="0" borderId="9" xfId="0" applyFont="1" applyBorder="1" applyAlignment="1">
      <alignment horizontal="center" wrapText="1"/>
    </xf>
    <xf numFmtId="0" fontId="13" fillId="0" borderId="8" xfId="0" applyFont="1" applyBorder="1" applyAlignment="1">
      <alignment horizontal="left" wrapText="1"/>
    </xf>
    <xf numFmtId="0" fontId="13" fillId="0" borderId="0" xfId="0" applyFont="1" applyAlignment="1">
      <alignment horizontal="left" wrapText="1"/>
    </xf>
    <xf numFmtId="0" fontId="13" fillId="0" borderId="9" xfId="0" applyFont="1" applyBorder="1" applyAlignment="1">
      <alignment horizontal="left" wrapText="1"/>
    </xf>
    <xf numFmtId="0" fontId="14" fillId="0" borderId="0" xfId="0" applyFont="1" applyAlignment="1">
      <alignment horizontal="left" vertical="center" textRotation="90"/>
    </xf>
    <xf numFmtId="0" fontId="14" fillId="0" borderId="9" xfId="0" applyFont="1" applyBorder="1" applyAlignment="1">
      <alignment horizontal="left" vertical="center" textRotation="90"/>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14" fillId="0" borderId="8" xfId="0" applyFont="1" applyBorder="1" applyAlignment="1">
      <alignment horizontal="left" vertical="center" textRotation="90"/>
    </xf>
    <xf numFmtId="0" fontId="15" fillId="0" borderId="0" xfId="0" applyFont="1" applyAlignment="1">
      <alignment horizontal="left" vertical="center" wrapText="1"/>
    </xf>
    <xf numFmtId="0" fontId="15" fillId="0" borderId="9" xfId="0" applyFont="1" applyBorder="1" applyAlignment="1">
      <alignment horizontal="left" vertical="center" wrapText="1"/>
    </xf>
    <xf numFmtId="0" fontId="16" fillId="3" borderId="9" xfId="0" applyFont="1" applyFill="1" applyBorder="1"/>
    <xf numFmtId="0" fontId="11" fillId="4" borderId="0" xfId="0" applyFont="1" applyFill="1" applyAlignment="1">
      <alignment horizontal="center" vertical="center"/>
    </xf>
    <xf numFmtId="0" fontId="11" fillId="4" borderId="7" xfId="0" applyFont="1" applyFill="1" applyBorder="1" applyAlignment="1">
      <alignment horizontal="center" vertical="center"/>
    </xf>
    <xf numFmtId="0" fontId="11" fillId="4" borderId="7" xfId="0" applyFont="1" applyFill="1" applyBorder="1" applyAlignment="1">
      <alignment vertical="center" wrapText="1"/>
    </xf>
    <xf numFmtId="0" fontId="11" fillId="4" borderId="9" xfId="0" applyFont="1" applyFill="1" applyBorder="1" applyAlignment="1">
      <alignment vertical="center" wrapText="1"/>
    </xf>
    <xf numFmtId="0" fontId="14" fillId="4" borderId="0" xfId="0" applyFont="1" applyFill="1" applyAlignment="1">
      <alignment horizontal="left" vertical="center" textRotation="90"/>
    </xf>
    <xf numFmtId="0" fontId="14" fillId="4" borderId="9" xfId="0" applyFont="1" applyFill="1" applyBorder="1" applyAlignment="1">
      <alignment horizontal="left" vertical="center" textRotation="90"/>
    </xf>
    <xf numFmtId="0" fontId="11" fillId="4" borderId="0" xfId="0" applyFont="1" applyFill="1" applyAlignment="1">
      <alignment horizontal="left" vertical="center" wrapText="1"/>
    </xf>
    <xf numFmtId="0" fontId="11" fillId="4" borderId="9" xfId="0" applyFont="1" applyFill="1" applyBorder="1" applyAlignment="1">
      <alignment horizontal="left" vertical="center" wrapText="1"/>
    </xf>
    <xf numFmtId="0" fontId="11" fillId="0" borderId="7" xfId="0" applyFont="1" applyBorder="1" applyAlignment="1">
      <alignment horizontal="left" wrapText="1"/>
    </xf>
    <xf numFmtId="0" fontId="12" fillId="0" borderId="11" xfId="0" applyFont="1" applyBorder="1" applyAlignment="1">
      <alignment horizontal="center"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textRotation="90" wrapText="1"/>
    </xf>
    <xf numFmtId="0" fontId="0" fillId="5" borderId="0" xfId="0" applyFill="1" applyAlignment="1">
      <alignment horizontal="center" vertical="center"/>
    </xf>
    <xf numFmtId="0" fontId="0" fillId="5" borderId="7" xfId="0" applyFill="1" applyBorder="1" applyAlignment="1">
      <alignment horizontal="center" vertical="center"/>
    </xf>
    <xf numFmtId="0" fontId="0" fillId="5" borderId="7" xfId="0" applyFill="1" applyBorder="1" applyAlignment="1">
      <alignment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0" fillId="5" borderId="0" xfId="0" applyFill="1" applyAlignment="1">
      <alignment horizontal="left" vertical="center" wrapText="1"/>
    </xf>
    <xf numFmtId="0" fontId="0" fillId="5" borderId="0" xfId="0" applyFill="1" applyAlignment="1">
      <alignment horizontal="left" vertical="center"/>
    </xf>
    <xf numFmtId="0" fontId="11" fillId="0" borderId="0" xfId="0" applyFont="1"/>
    <xf numFmtId="0" fontId="0" fillId="0" borderId="14" xfId="0" applyBorder="1"/>
    <xf numFmtId="0" fontId="12" fillId="0" borderId="15" xfId="0" applyFont="1" applyBorder="1" applyAlignment="1">
      <alignment horizontal="left" textRotation="90" wrapText="1"/>
    </xf>
    <xf numFmtId="0" fontId="0" fillId="5" borderId="14" xfId="0" applyFill="1" applyBorder="1" applyAlignment="1">
      <alignment horizontal="left" vertical="center"/>
    </xf>
    <xf numFmtId="0" fontId="12" fillId="0" borderId="15" xfId="0" applyFont="1" applyBorder="1" applyAlignment="1">
      <alignment horizontal="left" wrapText="1"/>
    </xf>
    <xf numFmtId="0" fontId="0" fillId="5" borderId="14" xfId="0" applyFill="1" applyBorder="1" applyAlignment="1">
      <alignment horizontal="left" vertical="center" wrapText="1"/>
    </xf>
    <xf numFmtId="0" fontId="0" fillId="5" borderId="17" xfId="0" applyFill="1" applyBorder="1" applyAlignment="1">
      <alignment horizontal="center" vertical="center"/>
    </xf>
    <xf numFmtId="0" fontId="0" fillId="5" borderId="18" xfId="0" applyFill="1" applyBorder="1" applyAlignment="1">
      <alignment vertical="center" wrapText="1"/>
    </xf>
    <xf numFmtId="0" fontId="0" fillId="5" borderId="17" xfId="0" applyFill="1" applyBorder="1" applyAlignment="1">
      <alignment horizontal="left" vertical="center" wrapText="1"/>
    </xf>
    <xf numFmtId="0" fontId="0" fillId="5" borderId="16" xfId="0" applyFill="1" applyBorder="1" applyAlignment="1">
      <alignment horizontal="left" vertical="center" wrapText="1"/>
    </xf>
    <xf numFmtId="0" fontId="0" fillId="5" borderId="17" xfId="0" applyFill="1" applyBorder="1" applyAlignment="1">
      <alignment horizontal="left" vertical="center"/>
    </xf>
    <xf numFmtId="0" fontId="0" fillId="5" borderId="16" xfId="0" applyFill="1" applyBorder="1" applyAlignment="1">
      <alignment horizontal="left" vertical="center"/>
    </xf>
    <xf numFmtId="0" fontId="11" fillId="0" borderId="7" xfId="0" applyFont="1" applyBorder="1" applyAlignment="1">
      <alignment wrapText="1"/>
    </xf>
    <xf numFmtId="0" fontId="11" fillId="0" borderId="7" xfId="0" applyFont="1" applyBorder="1" applyAlignment="1">
      <alignment horizontal="left" vertical="center" wrapText="1"/>
    </xf>
    <xf numFmtId="0" fontId="0" fillId="0" borderId="0" xfId="0" applyAlignment="1">
      <alignment wrapText="1"/>
    </xf>
    <xf numFmtId="0" fontId="7" fillId="2" borderId="1" xfId="0" applyFont="1" applyFill="1" applyBorder="1" applyAlignment="1">
      <alignment vertical="center" wrapText="1"/>
    </xf>
    <xf numFmtId="0" fontId="2" fillId="0" borderId="5" xfId="0" applyFont="1" applyBorder="1"/>
    <xf numFmtId="0" fontId="7" fillId="2" borderId="2" xfId="0" applyFont="1" applyFill="1" applyBorder="1" applyAlignment="1">
      <alignment horizontal="center"/>
    </xf>
    <xf numFmtId="0" fontId="2" fillId="0" borderId="3" xfId="0" applyFont="1" applyBorder="1"/>
    <xf numFmtId="0" fontId="2" fillId="0" borderId="4" xfId="0" applyFont="1" applyBorder="1"/>
    <xf numFmtId="0" fontId="10" fillId="0" borderId="0" xfId="0" applyFont="1" applyAlignment="1">
      <alignment wrapText="1"/>
    </xf>
    <xf numFmtId="0" fontId="0" fillId="0" borderId="0" xfId="0"/>
    <xf numFmtId="0" fontId="5" fillId="0" borderId="0" xfId="0" applyFont="1" applyAlignment="1">
      <alignment wrapText="1"/>
    </xf>
    <xf numFmtId="0" fontId="5" fillId="0" borderId="0" xfId="0" applyFont="1" applyAlignment="1">
      <alignment vertical="top" wrapText="1"/>
    </xf>
    <xf numFmtId="0" fontId="6" fillId="0" borderId="0" xfId="0" applyFont="1"/>
    <xf numFmtId="0" fontId="1" fillId="0" borderId="0" xfId="0" applyFont="1" applyAlignment="1">
      <alignment wrapText="1"/>
    </xf>
    <xf numFmtId="0" fontId="13" fillId="0" borderId="8" xfId="0" applyFont="1" applyBorder="1" applyAlignment="1">
      <alignment horizontal="center" wrapText="1"/>
    </xf>
    <xf numFmtId="0" fontId="2" fillId="0" borderId="9" xfId="0" applyFont="1" applyBorder="1"/>
    <xf numFmtId="0" fontId="12" fillId="0" borderId="8" xfId="0" applyFont="1" applyBorder="1" applyAlignment="1">
      <alignment horizontal="center" wrapText="1"/>
    </xf>
    <xf numFmtId="0" fontId="12" fillId="0" borderId="0" xfId="0" applyFont="1" applyAlignment="1">
      <alignment horizontal="center" wrapText="1"/>
    </xf>
  </cellXfs>
  <cellStyles count="1">
    <cellStyle name="Normal" xfId="0" builtinId="0"/>
  </cellStyles>
  <dxfs count="9">
    <dxf>
      <fill>
        <patternFill patternType="solid">
          <fgColor rgb="FFCCCCCC"/>
          <bgColor rgb="FFCCCCCC"/>
        </patternFill>
      </fill>
    </dxf>
    <dxf>
      <fill>
        <patternFill patternType="solid">
          <fgColor rgb="FFEFEFEF"/>
          <bgColor rgb="FFEFEFEF"/>
        </patternFill>
      </fill>
    </dxf>
    <dxf>
      <font>
        <color rgb="FFF3F3F3"/>
      </font>
      <fill>
        <patternFill patternType="solid">
          <fgColor rgb="FFF3F3F3"/>
          <bgColor rgb="FFF3F3F3"/>
        </patternFill>
      </fill>
    </dxf>
    <dxf>
      <font>
        <color rgb="FF46AF4B"/>
      </font>
      <fill>
        <patternFill patternType="solid">
          <fgColor rgb="FF46AF4B"/>
          <bgColor rgb="FF46AF4B"/>
        </patternFill>
      </fill>
    </dxf>
    <dxf>
      <fill>
        <patternFill patternType="solid">
          <fgColor rgb="FFCCCCCC"/>
          <bgColor rgb="FFCCCCCC"/>
        </patternFill>
      </fill>
    </dxf>
    <dxf>
      <fill>
        <patternFill patternType="solid">
          <fgColor rgb="FFEFEFEF"/>
          <bgColor rgb="FFEFEFEF"/>
        </patternFill>
      </fill>
    </dxf>
    <dxf>
      <fill>
        <patternFill patternType="solid">
          <fgColor rgb="FFB7E1CD"/>
          <bgColor rgb="FFB7E1CD"/>
        </patternFill>
      </fill>
    </dxf>
    <dxf>
      <font>
        <color rgb="FFCD2355"/>
      </font>
      <fill>
        <patternFill patternType="solid">
          <fgColor rgb="FFCD2355"/>
          <bgColor rgb="FFCD2355"/>
        </patternFill>
      </fill>
    </dxf>
    <dxf>
      <font>
        <color rgb="FF46AF4B"/>
      </font>
      <fill>
        <patternFill patternType="solid">
          <fgColor rgb="FF46AF4B"/>
          <bgColor rgb="FF46AF4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13</xdr:row>
      <xdr:rowOff>523875</xdr:rowOff>
    </xdr:from>
    <xdr:ext cx="5172075" cy="733425"/>
    <xdr:pic>
      <xdr:nvPicPr>
        <xdr:cNvPr id="2" name="image3.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285750</xdr:colOff>
      <xdr:row>0</xdr:row>
      <xdr:rowOff>190500</xdr:rowOff>
    </xdr:from>
    <xdr:ext cx="2257425" cy="685800"/>
    <xdr:pic>
      <xdr:nvPicPr>
        <xdr:cNvPr id="3" name="image2.png" title="Image">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the-c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1000"/>
  <sheetViews>
    <sheetView showGridLines="0" tabSelected="1" workbookViewId="0">
      <selection activeCell="J5" sqref="J5"/>
    </sheetView>
  </sheetViews>
  <sheetFormatPr baseColWidth="10" defaultColWidth="12.6640625" defaultRowHeight="15.75" customHeight="1"/>
  <cols>
    <col min="1" max="1" width="3.6640625" customWidth="1"/>
    <col min="2" max="3" width="10.6640625" customWidth="1"/>
    <col min="4" max="4" width="3.6640625" customWidth="1"/>
    <col min="5" max="5" width="42.83203125" customWidth="1"/>
    <col min="6" max="6" width="3.6640625" customWidth="1"/>
    <col min="7" max="7" width="9.83203125" customWidth="1"/>
    <col min="8" max="8" width="60.6640625" customWidth="1"/>
    <col min="9" max="9" width="3.6640625" customWidth="1"/>
    <col min="12" max="12" width="38.5" customWidth="1"/>
  </cols>
  <sheetData>
    <row r="1" spans="1:12" ht="15.75" customHeight="1">
      <c r="A1" s="3"/>
      <c r="B1" s="3"/>
      <c r="C1" s="3"/>
      <c r="D1" s="3"/>
      <c r="E1" s="3"/>
      <c r="F1" s="3"/>
      <c r="G1" s="4"/>
      <c r="H1" s="4"/>
      <c r="I1" s="3"/>
      <c r="J1" s="5"/>
      <c r="K1" s="5"/>
      <c r="L1" s="5"/>
    </row>
    <row r="2" spans="1:12" ht="15.75" customHeight="1">
      <c r="A2" s="3"/>
      <c r="B2" s="78"/>
      <c r="C2" s="78"/>
      <c r="D2" s="3"/>
      <c r="E2" s="79"/>
      <c r="F2" s="3"/>
      <c r="G2" s="4"/>
      <c r="H2" s="4"/>
      <c r="I2" s="3"/>
      <c r="J2" s="5"/>
      <c r="K2" s="5"/>
      <c r="L2" s="5"/>
    </row>
    <row r="3" spans="1:12" ht="15.75" customHeight="1">
      <c r="A3" s="3"/>
      <c r="B3" s="75"/>
      <c r="C3" s="75"/>
      <c r="D3" s="3"/>
      <c r="E3" s="75"/>
      <c r="F3" s="3"/>
      <c r="G3" s="4"/>
      <c r="H3" s="4"/>
      <c r="I3" s="3"/>
      <c r="J3" s="5"/>
      <c r="K3" s="5"/>
      <c r="L3" s="5"/>
    </row>
    <row r="4" spans="1:12" ht="15.75" customHeight="1">
      <c r="A4" s="3"/>
      <c r="B4" s="75"/>
      <c r="C4" s="75"/>
      <c r="D4" s="3"/>
      <c r="E4" s="75"/>
      <c r="F4" s="3"/>
      <c r="G4" s="69" t="s">
        <v>0</v>
      </c>
      <c r="H4" s="69" t="s">
        <v>1</v>
      </c>
      <c r="I4" s="3"/>
      <c r="J4" s="71" t="s">
        <v>2399</v>
      </c>
      <c r="K4" s="72"/>
      <c r="L4" s="73"/>
    </row>
    <row r="5" spans="1:12" ht="15.75" customHeight="1">
      <c r="A5" s="3"/>
      <c r="B5" s="75"/>
      <c r="C5" s="75"/>
      <c r="D5" s="3"/>
      <c r="E5" s="75"/>
      <c r="F5" s="3"/>
      <c r="G5" s="70"/>
      <c r="H5" s="70"/>
      <c r="I5" s="3"/>
      <c r="J5" s="6" t="s">
        <v>2</v>
      </c>
      <c r="K5" s="6" t="s">
        <v>3</v>
      </c>
      <c r="L5" s="6" t="s">
        <v>4</v>
      </c>
    </row>
    <row r="6" spans="1:12" ht="41.25" customHeight="1">
      <c r="A6" s="3"/>
      <c r="B6" s="7" t="s">
        <v>5</v>
      </c>
      <c r="C6" s="2"/>
      <c r="D6" s="2"/>
      <c r="E6" s="2"/>
      <c r="F6" s="3"/>
      <c r="G6" s="1">
        <v>4.0999999999999996</v>
      </c>
      <c r="H6" s="8" t="s">
        <v>38</v>
      </c>
      <c r="I6" s="3"/>
      <c r="J6" s="1" t="s">
        <v>6</v>
      </c>
      <c r="K6" s="8" t="s">
        <v>7</v>
      </c>
      <c r="L6" s="8" t="s">
        <v>8</v>
      </c>
    </row>
    <row r="7" spans="1:12" ht="41.25" customHeight="1">
      <c r="A7" s="3"/>
      <c r="B7" s="74" t="s">
        <v>39</v>
      </c>
      <c r="C7" s="75"/>
      <c r="D7" s="75"/>
      <c r="E7" s="75"/>
      <c r="F7" s="3"/>
      <c r="G7" s="1">
        <v>4.2</v>
      </c>
      <c r="H7" s="8" t="s">
        <v>40</v>
      </c>
      <c r="I7" s="3"/>
      <c r="J7" s="1" t="s">
        <v>9</v>
      </c>
      <c r="K7" s="8" t="s">
        <v>10</v>
      </c>
      <c r="L7" s="8" t="s">
        <v>11</v>
      </c>
    </row>
    <row r="8" spans="1:12" ht="41.25" customHeight="1">
      <c r="A8" s="3"/>
      <c r="B8" s="75"/>
      <c r="C8" s="75"/>
      <c r="D8" s="75"/>
      <c r="E8" s="75"/>
      <c r="F8" s="3"/>
      <c r="G8" s="1">
        <v>4.3</v>
      </c>
      <c r="H8" s="8" t="s">
        <v>41</v>
      </c>
      <c r="I8" s="9"/>
      <c r="J8" s="1" t="s">
        <v>12</v>
      </c>
      <c r="K8" s="8" t="s">
        <v>13</v>
      </c>
      <c r="L8" s="8" t="s">
        <v>14</v>
      </c>
    </row>
    <row r="9" spans="1:12" ht="41.25" customHeight="1">
      <c r="A9" s="9"/>
      <c r="B9" s="75"/>
      <c r="C9" s="75"/>
      <c r="D9" s="75"/>
      <c r="E9" s="75"/>
      <c r="F9" s="9"/>
      <c r="G9" s="11"/>
      <c r="H9" s="12"/>
      <c r="I9" s="9"/>
      <c r="J9" s="1" t="s">
        <v>15</v>
      </c>
      <c r="K9" s="8" t="s">
        <v>16</v>
      </c>
      <c r="L9" s="8" t="s">
        <v>17</v>
      </c>
    </row>
    <row r="10" spans="1:12" ht="41.25" customHeight="1">
      <c r="A10" s="9"/>
      <c r="B10" s="75"/>
      <c r="C10" s="75"/>
      <c r="D10" s="75"/>
      <c r="E10" s="75"/>
      <c r="F10" s="9"/>
      <c r="G10" s="11"/>
      <c r="H10" s="12"/>
      <c r="I10" s="9"/>
      <c r="J10" s="1" t="s">
        <v>18</v>
      </c>
      <c r="K10" s="8" t="s">
        <v>19</v>
      </c>
      <c r="L10" s="8" t="s">
        <v>20</v>
      </c>
    </row>
    <row r="11" spans="1:12" ht="41.25" customHeight="1">
      <c r="A11" s="9"/>
      <c r="B11" s="75"/>
      <c r="C11" s="75"/>
      <c r="D11" s="75"/>
      <c r="E11" s="75"/>
      <c r="F11" s="9"/>
      <c r="G11" s="11"/>
      <c r="H11" s="12"/>
      <c r="I11" s="9"/>
      <c r="J11" s="1" t="s">
        <v>21</v>
      </c>
      <c r="K11" s="8" t="s">
        <v>22</v>
      </c>
      <c r="L11" s="8" t="s">
        <v>23</v>
      </c>
    </row>
    <row r="12" spans="1:12" ht="41.25" customHeight="1">
      <c r="A12" s="9"/>
      <c r="B12" s="75"/>
      <c r="C12" s="75"/>
      <c r="D12" s="75"/>
      <c r="E12" s="75"/>
      <c r="F12" s="9"/>
      <c r="G12" s="9"/>
      <c r="H12" s="9"/>
      <c r="I12" s="9"/>
      <c r="J12" s="1" t="s">
        <v>24</v>
      </c>
      <c r="K12" s="8" t="s">
        <v>25</v>
      </c>
      <c r="L12" s="8" t="s">
        <v>26</v>
      </c>
    </row>
    <row r="13" spans="1:12" ht="41.25" customHeight="1">
      <c r="A13" s="9"/>
      <c r="B13" s="75"/>
      <c r="C13" s="75"/>
      <c r="D13" s="75"/>
      <c r="E13" s="75"/>
      <c r="F13" s="9"/>
      <c r="G13" s="9"/>
      <c r="H13" s="9"/>
      <c r="I13" s="9"/>
      <c r="J13" s="1" t="s">
        <v>27</v>
      </c>
      <c r="K13" s="8" t="s">
        <v>28</v>
      </c>
      <c r="L13" s="8" t="s">
        <v>29</v>
      </c>
    </row>
    <row r="14" spans="1:12" ht="41.25" customHeight="1">
      <c r="A14" s="9"/>
      <c r="B14" s="76" t="s">
        <v>30</v>
      </c>
      <c r="C14" s="75"/>
      <c r="D14" s="75"/>
      <c r="E14" s="75"/>
      <c r="F14" s="9"/>
      <c r="G14" s="9"/>
      <c r="H14" s="10"/>
      <c r="I14" s="9"/>
      <c r="J14" s="1" t="s">
        <v>31</v>
      </c>
      <c r="K14" s="8" t="s">
        <v>32</v>
      </c>
      <c r="L14" s="8" t="s">
        <v>33</v>
      </c>
    </row>
    <row r="15" spans="1:12" ht="41.25" customHeight="1">
      <c r="A15" s="9"/>
      <c r="B15" s="77"/>
      <c r="C15" s="75"/>
      <c r="D15" s="75"/>
      <c r="E15" s="75"/>
      <c r="F15" s="9"/>
      <c r="G15" s="9"/>
      <c r="H15" s="10"/>
      <c r="I15" s="9"/>
      <c r="J15" s="1" t="s">
        <v>34</v>
      </c>
      <c r="K15" s="8" t="s">
        <v>35</v>
      </c>
      <c r="L15" s="8" t="s">
        <v>36</v>
      </c>
    </row>
    <row r="16" spans="1:12" ht="41.25" customHeight="1">
      <c r="A16" s="9"/>
      <c r="B16" s="75"/>
      <c r="C16" s="75"/>
      <c r="D16" s="75"/>
      <c r="E16" s="75"/>
      <c r="F16" s="9"/>
      <c r="G16" s="9"/>
      <c r="H16" s="10"/>
      <c r="I16" s="9"/>
      <c r="J16" s="9"/>
      <c r="K16" s="9"/>
      <c r="L16" s="9"/>
    </row>
    <row r="17" ht="13"/>
    <row r="18" ht="13"/>
    <row r="19" ht="13"/>
    <row r="20" ht="13"/>
    <row r="21" ht="13"/>
    <row r="22" ht="13"/>
    <row r="23" ht="13"/>
    <row r="24" ht="13"/>
    <row r="25" ht="13"/>
    <row r="26" ht="13"/>
    <row r="27" ht="13"/>
    <row r="28" ht="13"/>
    <row r="29" ht="13"/>
    <row r="30" ht="13"/>
    <row r="31" ht="13"/>
    <row r="32" ht="13"/>
    <row r="33" ht="13"/>
    <row r="34" ht="13"/>
    <row r="35" ht="13"/>
    <row r="36" ht="13"/>
    <row r="37" ht="13"/>
    <row r="38" ht="13"/>
    <row r="39" ht="13"/>
    <row r="40" ht="13"/>
    <row r="41" ht="13"/>
    <row r="42" ht="13"/>
    <row r="43" ht="13"/>
    <row r="44" ht="13"/>
    <row r="45" ht="13"/>
    <row r="46" ht="13"/>
    <row r="47" ht="13"/>
    <row r="48"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
    <row r="93" ht="13"/>
    <row r="94" ht="13"/>
    <row r="95" ht="13"/>
    <row r="96" ht="13"/>
    <row r="97" ht="13"/>
    <row r="98" ht="13"/>
    <row r="99" ht="13"/>
    <row r="100" ht="13"/>
    <row r="101" ht="13"/>
    <row r="102" ht="13"/>
    <row r="103" ht="13"/>
    <row r="104" ht="13"/>
    <row r="105" ht="13"/>
    <row r="106" ht="13"/>
    <row r="107" ht="13"/>
    <row r="108" ht="13"/>
    <row r="109" ht="13"/>
    <row r="110" ht="13"/>
    <row r="111" ht="13"/>
    <row r="112" ht="13"/>
    <row r="113" ht="13"/>
    <row r="114" ht="13"/>
    <row r="115" ht="13"/>
    <row r="116" ht="13"/>
    <row r="117" ht="13"/>
    <row r="118" ht="13"/>
    <row r="119" ht="13"/>
    <row r="120" ht="13"/>
    <row r="121" ht="13"/>
    <row r="122" ht="13"/>
    <row r="123" ht="13"/>
    <row r="124" ht="13"/>
    <row r="125" ht="13"/>
    <row r="126" ht="13"/>
    <row r="127" ht="13"/>
    <row r="128" ht="13"/>
    <row r="129" ht="13"/>
    <row r="130" ht="13"/>
    <row r="131" ht="13"/>
    <row r="132" ht="13"/>
    <row r="133" ht="13"/>
    <row r="134" ht="13"/>
    <row r="135" ht="13"/>
    <row r="136" ht="13"/>
    <row r="137" ht="13"/>
    <row r="138" ht="13"/>
    <row r="139" ht="13"/>
    <row r="140" ht="13"/>
    <row r="141" ht="13"/>
    <row r="142" ht="13"/>
    <row r="143" ht="13"/>
    <row r="144" ht="13"/>
    <row r="145" ht="13"/>
    <row r="146" ht="13"/>
    <row r="147" ht="13"/>
    <row r="148" ht="13"/>
    <row r="149" ht="13"/>
    <row r="150" ht="13"/>
    <row r="151" ht="13"/>
    <row r="152" ht="13"/>
    <row r="153" ht="13"/>
    <row r="154" ht="13"/>
    <row r="155" ht="13"/>
    <row r="156" ht="13"/>
    <row r="157" ht="13"/>
    <row r="158" ht="13"/>
    <row r="159" ht="13"/>
    <row r="160" ht="13"/>
    <row r="161" ht="13"/>
    <row r="162" ht="13"/>
    <row r="163" ht="13"/>
    <row r="164" ht="13"/>
    <row r="165" ht="13"/>
    <row r="166" ht="13"/>
    <row r="167" ht="13"/>
    <row r="168" ht="13"/>
    <row r="169" ht="13"/>
    <row r="170" ht="13"/>
    <row r="171" ht="13"/>
    <row r="172" ht="13"/>
    <row r="173" ht="13"/>
    <row r="174" ht="13"/>
    <row r="175" ht="13"/>
    <row r="176" ht="13"/>
    <row r="177" ht="13"/>
    <row r="178" ht="13"/>
    <row r="179" ht="13"/>
    <row r="180" ht="13"/>
    <row r="181" ht="13"/>
    <row r="182" ht="13"/>
    <row r="183" ht="13"/>
    <row r="184" ht="13"/>
    <row r="185" ht="13"/>
    <row r="186" ht="13"/>
    <row r="187" ht="13"/>
    <row r="188" ht="13"/>
    <row r="189" ht="13"/>
    <row r="190" ht="13"/>
    <row r="191" ht="13"/>
    <row r="192" ht="13"/>
    <row r="193" ht="13"/>
    <row r="194" ht="13"/>
    <row r="195" ht="13"/>
    <row r="196" ht="13"/>
    <row r="197" ht="13"/>
    <row r="198" ht="13"/>
    <row r="199" ht="13"/>
    <row r="200" ht="13"/>
    <row r="201" ht="13"/>
    <row r="202" ht="13"/>
    <row r="203" ht="13"/>
    <row r="204" ht="13"/>
    <row r="205" ht="13"/>
    <row r="206" ht="13"/>
    <row r="207" ht="13"/>
    <row r="208" ht="13"/>
    <row r="209" ht="13"/>
    <row r="210" ht="13"/>
    <row r="211" ht="13"/>
    <row r="212" ht="13"/>
    <row r="213" ht="13"/>
    <row r="214" ht="13"/>
    <row r="215" ht="13"/>
    <row r="216" ht="13"/>
    <row r="217" ht="13"/>
    <row r="218" ht="13"/>
    <row r="219" ht="13"/>
    <row r="220" ht="13"/>
    <row r="221" ht="13"/>
    <row r="222" ht="13"/>
    <row r="223" ht="13"/>
    <row r="224" ht="13"/>
    <row r="225" ht="13"/>
    <row r="226" ht="13"/>
    <row r="227" ht="13"/>
    <row r="228" ht="13"/>
    <row r="229" ht="13"/>
    <row r="230" ht="13"/>
    <row r="231" ht="13"/>
    <row r="232" ht="13"/>
    <row r="233" ht="13"/>
    <row r="234" ht="13"/>
    <row r="235" ht="13"/>
    <row r="236" ht="13"/>
    <row r="237" ht="13"/>
    <row r="238" ht="13"/>
    <row r="239" ht="13"/>
    <row r="240" ht="13"/>
    <row r="241" ht="13"/>
    <row r="242" ht="13"/>
    <row r="243" ht="13"/>
    <row r="244" ht="13"/>
    <row r="245" ht="13"/>
    <row r="246" ht="13"/>
    <row r="247" ht="13"/>
    <row r="248" ht="13"/>
    <row r="249" ht="13"/>
    <row r="250" ht="13"/>
    <row r="251" ht="13"/>
    <row r="252" ht="13"/>
    <row r="253" ht="13"/>
    <row r="254" ht="13"/>
    <row r="255" ht="13"/>
    <row r="256" ht="13"/>
    <row r="257" ht="13"/>
    <row r="258" ht="13"/>
    <row r="259" ht="13"/>
    <row r="260" ht="13"/>
    <row r="261" ht="13"/>
    <row r="262" ht="13"/>
    <row r="263" ht="13"/>
    <row r="264" ht="13"/>
    <row r="265" ht="13"/>
    <row r="266" ht="13"/>
    <row r="267" ht="13"/>
    <row r="268" ht="13"/>
    <row r="269" ht="13"/>
    <row r="270" ht="13"/>
    <row r="271" ht="13"/>
    <row r="272" ht="13"/>
    <row r="273" ht="13"/>
    <row r="274" ht="13"/>
    <row r="275" ht="13"/>
    <row r="276" ht="13"/>
    <row r="277" ht="13"/>
    <row r="278" ht="13"/>
    <row r="279" ht="13"/>
    <row r="280" ht="13"/>
    <row r="281" ht="13"/>
    <row r="282" ht="13"/>
    <row r="283" ht="13"/>
    <row r="284" ht="13"/>
    <row r="285" ht="13"/>
    <row r="286" ht="13"/>
    <row r="287" ht="13"/>
    <row r="288" ht="13"/>
    <row r="289" ht="13"/>
    <row r="290" ht="13"/>
    <row r="291" ht="13"/>
    <row r="292" ht="13"/>
    <row r="293" ht="13"/>
    <row r="294" ht="13"/>
    <row r="295" ht="13"/>
    <row r="296" ht="13"/>
    <row r="297" ht="13"/>
    <row r="298" ht="13"/>
    <row r="299" ht="13"/>
    <row r="300" ht="13"/>
    <row r="301" ht="13"/>
    <row r="302" ht="13"/>
    <row r="303" ht="13"/>
    <row r="304" ht="13"/>
    <row r="305" ht="13"/>
    <row r="306" ht="13"/>
    <row r="307" ht="13"/>
    <row r="308" ht="13"/>
    <row r="309" ht="13"/>
    <row r="310" ht="13"/>
    <row r="311" ht="13"/>
    <row r="312" ht="13"/>
    <row r="313" ht="13"/>
    <row r="314" ht="13"/>
    <row r="315" ht="13"/>
    <row r="316" ht="13"/>
    <row r="317" ht="13"/>
    <row r="318" ht="13"/>
    <row r="319" ht="13"/>
    <row r="320" ht="13"/>
    <row r="321" ht="13"/>
    <row r="322" ht="13"/>
    <row r="323" ht="13"/>
    <row r="324" ht="13"/>
    <row r="325" ht="13"/>
    <row r="326" ht="13"/>
    <row r="327" ht="13"/>
    <row r="328" ht="13"/>
    <row r="329" ht="13"/>
    <row r="330" ht="13"/>
    <row r="331" ht="13"/>
    <row r="332" ht="13"/>
    <row r="333" ht="13"/>
    <row r="334" ht="13"/>
    <row r="335" ht="13"/>
    <row r="336" ht="13"/>
    <row r="337" ht="13"/>
    <row r="338" ht="13"/>
    <row r="339" ht="13"/>
    <row r="340" ht="13"/>
    <row r="341" ht="13"/>
    <row r="342" ht="13"/>
    <row r="343" ht="13"/>
    <row r="344" ht="13"/>
    <row r="345" ht="13"/>
    <row r="346" ht="13"/>
    <row r="347" ht="13"/>
    <row r="348" ht="13"/>
    <row r="349" ht="13"/>
    <row r="350" ht="13"/>
    <row r="351" ht="13"/>
    <row r="352" ht="13"/>
    <row r="353" ht="13"/>
    <row r="354" ht="13"/>
    <row r="355" ht="13"/>
    <row r="356" ht="13"/>
    <row r="357" ht="13"/>
    <row r="358" ht="13"/>
    <row r="359" ht="13"/>
    <row r="360" ht="13"/>
    <row r="361" ht="13"/>
    <row r="362" ht="13"/>
    <row r="363" ht="13"/>
    <row r="364" ht="13"/>
    <row r="365" ht="13"/>
    <row r="366" ht="13"/>
    <row r="367" ht="13"/>
    <row r="368" ht="13"/>
    <row r="369" ht="13"/>
    <row r="370" ht="13"/>
    <row r="371" ht="13"/>
    <row r="372" ht="13"/>
    <row r="373" ht="13"/>
    <row r="374" ht="13"/>
    <row r="375" ht="13"/>
    <row r="376" ht="13"/>
    <row r="377" ht="13"/>
    <row r="378" ht="13"/>
    <row r="379" ht="13"/>
    <row r="380" ht="13"/>
    <row r="381" ht="13"/>
    <row r="382" ht="13"/>
    <row r="383" ht="13"/>
    <row r="384" ht="13"/>
    <row r="385" ht="13"/>
    <row r="386" ht="13"/>
    <row r="387" ht="13"/>
    <row r="388" ht="13"/>
    <row r="389" ht="13"/>
    <row r="390" ht="13"/>
    <row r="391" ht="13"/>
    <row r="392" ht="13"/>
    <row r="393" ht="13"/>
    <row r="394" ht="13"/>
    <row r="395" ht="13"/>
    <row r="396" ht="13"/>
    <row r="397" ht="13"/>
    <row r="398" ht="13"/>
    <row r="399" ht="13"/>
    <row r="400" ht="13"/>
    <row r="401" ht="13"/>
    <row r="402" ht="13"/>
    <row r="403" ht="13"/>
    <row r="404" ht="13"/>
    <row r="405" ht="13"/>
    <row r="406" ht="13"/>
    <row r="407" ht="13"/>
    <row r="408" ht="13"/>
    <row r="409" ht="13"/>
    <row r="410" ht="13"/>
    <row r="411" ht="13"/>
    <row r="412" ht="13"/>
    <row r="413" ht="13"/>
    <row r="414" ht="13"/>
    <row r="415" ht="13"/>
    <row r="416" ht="13"/>
    <row r="417" ht="13"/>
    <row r="418" ht="13"/>
    <row r="419" ht="13"/>
    <row r="420" ht="13"/>
    <row r="421" ht="13"/>
    <row r="422" ht="13"/>
    <row r="423" ht="13"/>
    <row r="424" ht="13"/>
    <row r="425" ht="13"/>
    <row r="426" ht="13"/>
    <row r="427" ht="13"/>
    <row r="428" ht="13"/>
    <row r="429" ht="13"/>
    <row r="430" ht="13"/>
    <row r="431" ht="13"/>
    <row r="432" ht="13"/>
    <row r="433" ht="13"/>
    <row r="434" ht="13"/>
    <row r="435" ht="13"/>
    <row r="436" ht="13"/>
    <row r="437" ht="13"/>
    <row r="438" ht="13"/>
    <row r="439" ht="13"/>
    <row r="440" ht="13"/>
    <row r="441" ht="13"/>
    <row r="442" ht="13"/>
    <row r="443" ht="13"/>
    <row r="444" ht="13"/>
    <row r="445" ht="13"/>
    <row r="446" ht="13"/>
    <row r="447" ht="13"/>
    <row r="448" ht="13"/>
    <row r="449" ht="13"/>
    <row r="450" ht="13"/>
    <row r="451" ht="13"/>
    <row r="452" ht="13"/>
    <row r="453" ht="13"/>
    <row r="454" ht="13"/>
    <row r="455" ht="13"/>
    <row r="456" ht="13"/>
    <row r="457" ht="13"/>
    <row r="458" ht="13"/>
    <row r="459" ht="13"/>
    <row r="460" ht="13"/>
    <row r="461" ht="13"/>
    <row r="462" ht="13"/>
    <row r="463" ht="13"/>
    <row r="464" ht="13"/>
    <row r="465" ht="13"/>
    <row r="466" ht="13"/>
    <row r="467" ht="13"/>
    <row r="468" ht="13"/>
    <row r="469" ht="13"/>
    <row r="470" ht="13"/>
    <row r="471" ht="13"/>
    <row r="472" ht="13"/>
    <row r="473" ht="13"/>
    <row r="474" ht="13"/>
    <row r="475" ht="13"/>
    <row r="476" ht="13"/>
    <row r="477" ht="13"/>
    <row r="478" ht="13"/>
    <row r="479" ht="13"/>
    <row r="480" ht="13"/>
    <row r="481" ht="13"/>
    <row r="482" ht="13"/>
    <row r="483" ht="13"/>
    <row r="484" ht="13"/>
    <row r="485" ht="13"/>
    <row r="486" ht="13"/>
    <row r="487" ht="13"/>
    <row r="488" ht="13"/>
    <row r="489" ht="13"/>
    <row r="490" ht="13"/>
    <row r="491" ht="13"/>
    <row r="492" ht="13"/>
    <row r="493" ht="13"/>
    <row r="494" ht="13"/>
    <row r="495" ht="13"/>
    <row r="496" ht="13"/>
    <row r="497" ht="13"/>
    <row r="498" ht="13"/>
    <row r="499" ht="13"/>
    <row r="500" ht="13"/>
    <row r="501" ht="13"/>
    <row r="502" ht="13"/>
    <row r="503" ht="13"/>
    <row r="504" ht="13"/>
    <row r="505" ht="13"/>
    <row r="506" ht="13"/>
    <row r="507" ht="13"/>
    <row r="508" ht="13"/>
    <row r="509" ht="13"/>
    <row r="510" ht="13"/>
    <row r="511" ht="13"/>
    <row r="512" ht="13"/>
    <row r="513" ht="13"/>
    <row r="514" ht="13"/>
    <row r="515" ht="13"/>
    <row r="516" ht="13"/>
    <row r="517" ht="13"/>
    <row r="518" ht="13"/>
    <row r="519" ht="13"/>
    <row r="520" ht="13"/>
    <row r="521" ht="13"/>
    <row r="522" ht="13"/>
    <row r="523" ht="13"/>
    <row r="524" ht="13"/>
    <row r="525" ht="13"/>
    <row r="526" ht="13"/>
    <row r="527" ht="13"/>
    <row r="528" ht="13"/>
    <row r="529" ht="13"/>
    <row r="530" ht="13"/>
    <row r="531" ht="13"/>
    <row r="532" ht="13"/>
    <row r="533" ht="13"/>
    <row r="534" ht="13"/>
    <row r="535" ht="13"/>
    <row r="536" ht="13"/>
    <row r="537" ht="13"/>
    <row r="538" ht="13"/>
    <row r="539" ht="13"/>
    <row r="540" ht="13"/>
    <row r="541" ht="13"/>
    <row r="542" ht="13"/>
    <row r="543" ht="13"/>
    <row r="544" ht="13"/>
    <row r="545" ht="13"/>
    <row r="546" ht="13"/>
    <row r="547" ht="13"/>
    <row r="548" ht="13"/>
    <row r="549" ht="13"/>
    <row r="550" ht="13"/>
    <row r="551" ht="13"/>
    <row r="552" ht="13"/>
    <row r="553" ht="13"/>
    <row r="554" ht="13"/>
    <row r="555" ht="13"/>
    <row r="556" ht="13"/>
    <row r="557" ht="13"/>
    <row r="558" ht="13"/>
    <row r="559" ht="13"/>
    <row r="560" ht="13"/>
    <row r="561" ht="13"/>
    <row r="562" ht="13"/>
    <row r="563" ht="13"/>
    <row r="564" ht="13"/>
    <row r="565" ht="13"/>
    <row r="566" ht="13"/>
    <row r="567" ht="13"/>
    <row r="568" ht="13"/>
    <row r="569" ht="13"/>
    <row r="570" ht="13"/>
    <row r="571" ht="13"/>
    <row r="572" ht="13"/>
    <row r="573" ht="13"/>
    <row r="574" ht="13"/>
    <row r="575" ht="13"/>
    <row r="576" ht="13"/>
    <row r="577" ht="13"/>
    <row r="578" ht="13"/>
    <row r="579" ht="13"/>
    <row r="580" ht="13"/>
    <row r="581" ht="13"/>
    <row r="582" ht="13"/>
    <row r="583" ht="13"/>
    <row r="584" ht="13"/>
    <row r="585" ht="13"/>
    <row r="586" ht="13"/>
    <row r="587" ht="13"/>
    <row r="588" ht="13"/>
    <row r="589" ht="13"/>
    <row r="590" ht="13"/>
    <row r="591" ht="13"/>
    <row r="592" ht="13"/>
    <row r="593" ht="13"/>
    <row r="594" ht="13"/>
    <row r="595" ht="13"/>
    <row r="596" ht="13"/>
    <row r="597" ht="13"/>
    <row r="598" ht="13"/>
    <row r="599" ht="13"/>
    <row r="600" ht="13"/>
    <row r="601" ht="13"/>
    <row r="602" ht="13"/>
    <row r="603" ht="13"/>
    <row r="604" ht="13"/>
    <row r="605" ht="13"/>
    <row r="606" ht="13"/>
    <row r="607" ht="13"/>
    <row r="608" ht="13"/>
    <row r="609" ht="13"/>
    <row r="610" ht="13"/>
    <row r="611" ht="13"/>
    <row r="612" ht="13"/>
    <row r="613" ht="13"/>
    <row r="614" ht="13"/>
    <row r="615" ht="13"/>
    <row r="616" ht="13"/>
    <row r="617" ht="13"/>
    <row r="618" ht="13"/>
    <row r="619" ht="13"/>
    <row r="620" ht="13"/>
    <row r="621" ht="13"/>
    <row r="622" ht="13"/>
    <row r="623" ht="13"/>
    <row r="624" ht="13"/>
    <row r="625" ht="13"/>
    <row r="626" ht="13"/>
    <row r="627" ht="13"/>
    <row r="628" ht="13"/>
    <row r="629" ht="13"/>
    <row r="630" ht="13"/>
    <row r="631" ht="13"/>
    <row r="632" ht="13"/>
    <row r="633" ht="13"/>
    <row r="634" ht="13"/>
    <row r="635" ht="13"/>
    <row r="636" ht="13"/>
    <row r="637" ht="13"/>
    <row r="638" ht="13"/>
    <row r="639" ht="13"/>
    <row r="640" ht="13"/>
    <row r="641" ht="13"/>
    <row r="642" ht="13"/>
    <row r="643" ht="13"/>
    <row r="644" ht="13"/>
    <row r="645" ht="13"/>
    <row r="646" ht="13"/>
    <row r="647" ht="13"/>
    <row r="648" ht="13"/>
    <row r="649" ht="13"/>
    <row r="650" ht="13"/>
    <row r="651" ht="13"/>
    <row r="652" ht="13"/>
    <row r="653" ht="13"/>
    <row r="654" ht="13"/>
    <row r="655" ht="13"/>
    <row r="656" ht="13"/>
    <row r="657" ht="13"/>
    <row r="658" ht="13"/>
    <row r="659" ht="13"/>
    <row r="660" ht="13"/>
    <row r="661" ht="13"/>
    <row r="662" ht="13"/>
    <row r="663" ht="13"/>
    <row r="664" ht="13"/>
    <row r="665" ht="13"/>
    <row r="666" ht="13"/>
    <row r="667" ht="13"/>
    <row r="668" ht="13"/>
    <row r="669" ht="13"/>
    <row r="670" ht="13"/>
    <row r="671" ht="13"/>
    <row r="672" ht="13"/>
    <row r="673" ht="13"/>
    <row r="674" ht="13"/>
    <row r="675" ht="13"/>
    <row r="676" ht="13"/>
    <row r="677" ht="13"/>
    <row r="678" ht="13"/>
    <row r="679" ht="13"/>
    <row r="680" ht="13"/>
    <row r="681" ht="13"/>
    <row r="682" ht="13"/>
    <row r="683" ht="13"/>
    <row r="684" ht="13"/>
    <row r="685" ht="13"/>
    <row r="686" ht="13"/>
    <row r="687" ht="13"/>
    <row r="688" ht="13"/>
    <row r="689" ht="13"/>
    <row r="690" ht="13"/>
    <row r="691" ht="13"/>
    <row r="692" ht="13"/>
    <row r="693" ht="13"/>
    <row r="694" ht="13"/>
    <row r="695" ht="13"/>
    <row r="696" ht="13"/>
    <row r="697" ht="13"/>
    <row r="698" ht="13"/>
    <row r="699" ht="13"/>
    <row r="700" ht="13"/>
    <row r="701" ht="13"/>
    <row r="702" ht="13"/>
    <row r="703" ht="13"/>
    <row r="704" ht="13"/>
    <row r="705" ht="13"/>
    <row r="706" ht="13"/>
    <row r="707" ht="13"/>
    <row r="708" ht="13"/>
    <row r="709" ht="13"/>
    <row r="710" ht="13"/>
    <row r="711" ht="13"/>
    <row r="712" ht="13"/>
    <row r="713" ht="13"/>
    <row r="714" ht="13"/>
    <row r="715" ht="13"/>
    <row r="716" ht="13"/>
    <row r="717" ht="13"/>
    <row r="718" ht="13"/>
    <row r="719" ht="13"/>
    <row r="720" ht="13"/>
    <row r="721" ht="13"/>
    <row r="722" ht="13"/>
    <row r="723" ht="13"/>
    <row r="724" ht="13"/>
    <row r="725" ht="13"/>
    <row r="726" ht="13"/>
    <row r="727" ht="13"/>
    <row r="728" ht="13"/>
    <row r="729" ht="13"/>
    <row r="730" ht="13"/>
    <row r="731" ht="13"/>
    <row r="732" ht="13"/>
    <row r="733" ht="13"/>
    <row r="734" ht="13"/>
    <row r="735" ht="13"/>
    <row r="736" ht="13"/>
    <row r="737" ht="13"/>
    <row r="738" ht="13"/>
    <row r="739" ht="13"/>
    <row r="740" ht="13"/>
    <row r="741" ht="13"/>
    <row r="742" ht="13"/>
    <row r="743" ht="13"/>
    <row r="744" ht="13"/>
    <row r="745" ht="13"/>
    <row r="746" ht="13"/>
    <row r="747" ht="13"/>
    <row r="748" ht="13"/>
    <row r="749" ht="13"/>
    <row r="750" ht="13"/>
    <row r="751" ht="13"/>
    <row r="752" ht="13"/>
    <row r="753" ht="13"/>
    <row r="754" ht="13"/>
    <row r="755" ht="13"/>
    <row r="756" ht="13"/>
    <row r="757" ht="13"/>
    <row r="758" ht="13"/>
    <row r="759" ht="13"/>
    <row r="760" ht="13"/>
    <row r="761" ht="13"/>
    <row r="762" ht="13"/>
    <row r="763" ht="13"/>
    <row r="764" ht="13"/>
    <row r="765" ht="13"/>
    <row r="766" ht="13"/>
    <row r="767" ht="13"/>
    <row r="768" ht="13"/>
    <row r="769" ht="13"/>
    <row r="770" ht="13"/>
    <row r="771" ht="13"/>
    <row r="772" ht="13"/>
    <row r="773" ht="13"/>
    <row r="774" ht="13"/>
    <row r="775" ht="13"/>
    <row r="776" ht="13"/>
    <row r="777" ht="13"/>
    <row r="778" ht="13"/>
    <row r="779" ht="13"/>
    <row r="780" ht="13"/>
    <row r="781" ht="13"/>
    <row r="782" ht="13"/>
    <row r="783" ht="13"/>
    <row r="784" ht="13"/>
    <row r="785" ht="13"/>
    <row r="786" ht="13"/>
    <row r="787" ht="13"/>
    <row r="788" ht="13"/>
    <row r="789" ht="13"/>
    <row r="790" ht="13"/>
    <row r="791" ht="13"/>
    <row r="792" ht="13"/>
    <row r="793" ht="13"/>
    <row r="794" ht="13"/>
    <row r="795" ht="13"/>
    <row r="796" ht="13"/>
    <row r="797" ht="13"/>
    <row r="798" ht="13"/>
    <row r="799" ht="13"/>
    <row r="800" ht="13"/>
    <row r="801" ht="13"/>
    <row r="802" ht="13"/>
    <row r="803" ht="13"/>
    <row r="804" ht="13"/>
    <row r="805" ht="13"/>
    <row r="806" ht="13"/>
    <row r="807" ht="13"/>
    <row r="808" ht="13"/>
    <row r="809" ht="13"/>
    <row r="810" ht="13"/>
    <row r="811" ht="13"/>
    <row r="812" ht="13"/>
    <row r="813" ht="13"/>
    <row r="814" ht="13"/>
    <row r="815" ht="13"/>
    <row r="816" ht="13"/>
    <row r="817" ht="13"/>
    <row r="818" ht="13"/>
    <row r="819" ht="13"/>
    <row r="820" ht="13"/>
    <row r="821" ht="13"/>
    <row r="822" ht="13"/>
    <row r="823" ht="13"/>
    <row r="824" ht="13"/>
    <row r="825" ht="13"/>
    <row r="826" ht="13"/>
    <row r="827" ht="13"/>
    <row r="828" ht="13"/>
    <row r="829" ht="13"/>
    <row r="830" ht="13"/>
    <row r="831" ht="13"/>
    <row r="832" ht="13"/>
    <row r="833" ht="13"/>
    <row r="834" ht="13"/>
    <row r="835" ht="13"/>
    <row r="836" ht="13"/>
    <row r="837" ht="13"/>
    <row r="838" ht="13"/>
    <row r="839" ht="13"/>
    <row r="840" ht="13"/>
    <row r="841" ht="13"/>
    <row r="842" ht="13"/>
    <row r="843" ht="13"/>
    <row r="844" ht="13"/>
    <row r="845" ht="13"/>
    <row r="846" ht="13"/>
    <row r="847" ht="13"/>
    <row r="848" ht="13"/>
    <row r="849" ht="13"/>
    <row r="850" ht="13"/>
    <row r="851" ht="13"/>
    <row r="852" ht="13"/>
    <row r="853" ht="13"/>
    <row r="854" ht="13"/>
    <row r="855" ht="13"/>
    <row r="856" ht="13"/>
    <row r="857" ht="13"/>
    <row r="858" ht="13"/>
    <row r="859" ht="13"/>
    <row r="860" ht="13"/>
    <row r="861" ht="13"/>
    <row r="862" ht="13"/>
    <row r="863" ht="13"/>
    <row r="864" ht="13"/>
    <row r="865" ht="13"/>
    <row r="866" ht="13"/>
    <row r="867" ht="13"/>
    <row r="868" ht="13"/>
    <row r="869" ht="13"/>
    <row r="870" ht="13"/>
    <row r="871" ht="13"/>
    <row r="872" ht="13"/>
    <row r="873" ht="13"/>
    <row r="874" ht="13"/>
    <row r="875" ht="13"/>
    <row r="876" ht="13"/>
    <row r="877" ht="13"/>
    <row r="878" ht="13"/>
    <row r="879" ht="13"/>
    <row r="880" ht="13"/>
    <row r="881" ht="13"/>
    <row r="882" ht="13"/>
    <row r="883" ht="13"/>
    <row r="884" ht="13"/>
    <row r="885" ht="13"/>
    <row r="886" ht="13"/>
    <row r="887" ht="13"/>
    <row r="888" ht="13"/>
    <row r="889" ht="13"/>
    <row r="890" ht="13"/>
    <row r="891" ht="13"/>
    <row r="892" ht="13"/>
    <row r="893" ht="13"/>
    <row r="894" ht="13"/>
    <row r="895" ht="13"/>
    <row r="896" ht="13"/>
    <row r="897" ht="13"/>
    <row r="898" ht="13"/>
    <row r="899" ht="13"/>
    <row r="900" ht="13"/>
    <row r="901" ht="13"/>
    <row r="902" ht="13"/>
    <row r="903" ht="13"/>
    <row r="904" ht="13"/>
    <row r="905" ht="13"/>
    <row r="906" ht="13"/>
    <row r="907" ht="13"/>
    <row r="908" ht="13"/>
    <row r="909" ht="13"/>
    <row r="910" ht="13"/>
    <row r="911" ht="13"/>
    <row r="912" ht="13"/>
    <row r="913" ht="13"/>
    <row r="914" ht="13"/>
    <row r="915" ht="13"/>
    <row r="916" ht="13"/>
    <row r="917" ht="13"/>
    <row r="918" ht="13"/>
    <row r="919" ht="13"/>
    <row r="920" ht="13"/>
    <row r="921" ht="13"/>
    <row r="922" ht="13"/>
    <row r="923" ht="13"/>
    <row r="924" ht="13"/>
    <row r="925" ht="13"/>
    <row r="926" ht="13"/>
    <row r="927" ht="13"/>
    <row r="928" ht="13"/>
    <row r="929" ht="13"/>
    <row r="930" ht="13"/>
    <row r="931" ht="13"/>
    <row r="932" ht="13"/>
    <row r="933" ht="13"/>
    <row r="934" ht="13"/>
    <row r="935" ht="13"/>
    <row r="936" ht="13"/>
    <row r="937" ht="13"/>
    <row r="938" ht="13"/>
    <row r="939" ht="13"/>
    <row r="940" ht="13"/>
    <row r="941" ht="13"/>
    <row r="942" ht="13"/>
    <row r="943" ht="13"/>
    <row r="944" ht="13"/>
    <row r="945" ht="13"/>
    <row r="946" ht="13"/>
    <row r="947" ht="13"/>
    <row r="948" ht="13"/>
    <row r="949" ht="13"/>
    <row r="950" ht="13"/>
    <row r="951" ht="13"/>
    <row r="952" ht="13"/>
    <row r="953" ht="13"/>
    <row r="954" ht="13"/>
    <row r="955" ht="13"/>
    <row r="956" ht="13"/>
    <row r="957" ht="13"/>
    <row r="958" ht="13"/>
    <row r="959" ht="13"/>
    <row r="960" ht="13"/>
    <row r="961" ht="13"/>
    <row r="962" ht="13"/>
    <row r="963" ht="13"/>
    <row r="964" ht="13"/>
    <row r="965" ht="13"/>
    <row r="966" ht="13"/>
    <row r="967" ht="13"/>
    <row r="968" ht="13"/>
    <row r="969" ht="13"/>
    <row r="970" ht="13"/>
    <row r="971" ht="13"/>
    <row r="972" ht="13"/>
    <row r="973" ht="13"/>
    <row r="974" ht="13"/>
    <row r="975" ht="13"/>
    <row r="976" ht="13"/>
    <row r="977" ht="13"/>
    <row r="978" ht="13"/>
    <row r="979" ht="13"/>
    <row r="980" ht="13"/>
    <row r="981" ht="13"/>
    <row r="982" ht="13"/>
    <row r="983" ht="13"/>
    <row r="984" ht="13"/>
    <row r="985" ht="13"/>
    <row r="986" ht="13"/>
    <row r="987" ht="13"/>
    <row r="988" ht="13"/>
    <row r="989" ht="13"/>
    <row r="990" ht="13"/>
    <row r="991" ht="13"/>
    <row r="992" ht="13"/>
    <row r="993" ht="13"/>
    <row r="994" ht="13"/>
    <row r="995" ht="13"/>
    <row r="996" ht="13"/>
    <row r="997" ht="13"/>
    <row r="998" ht="13"/>
    <row r="999" ht="13"/>
    <row r="1000" ht="13"/>
  </sheetData>
  <mergeCells count="9">
    <mergeCell ref="H4:H5"/>
    <mergeCell ref="J4:L4"/>
    <mergeCell ref="B7:E13"/>
    <mergeCell ref="B14:E14"/>
    <mergeCell ref="B15:E16"/>
    <mergeCell ref="B2:B5"/>
    <mergeCell ref="C2:C5"/>
    <mergeCell ref="E2:E5"/>
    <mergeCell ref="G4:G5"/>
  </mergeCells>
  <hyperlinks>
    <hyperlink ref="B7" r:id="rId1" xr:uid="{00000000-0004-0000-0300-000000000000}"/>
  </hyperlinks>
  <pageMargins left="0.7" right="0.7" top="0.75" bottom="0.7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W366"/>
  <sheetViews>
    <sheetView topLeftCell="E1" workbookViewId="0">
      <pane ySplit="2" topLeftCell="A269" activePane="bottomLeft" state="frozen"/>
      <selection pane="bottomLeft" activeCell="I2" sqref="I2"/>
    </sheetView>
  </sheetViews>
  <sheetFormatPr baseColWidth="10" defaultColWidth="12.6640625" defaultRowHeight="13"/>
  <cols>
    <col min="1" max="1" width="9" customWidth="1"/>
    <col min="2" max="2" width="11.83203125" customWidth="1"/>
    <col min="3" max="3" width="27.5" customWidth="1"/>
    <col min="4" max="4" width="9.6640625" customWidth="1"/>
    <col min="5" max="5" width="70.6640625" customWidth="1"/>
    <col min="6" max="18" width="6.6640625" customWidth="1"/>
    <col min="19" max="19" width="32.1640625" customWidth="1"/>
    <col min="20" max="20" width="30.83203125" customWidth="1"/>
    <col min="21" max="21" width="26.5" customWidth="1"/>
    <col min="22" max="22" width="28.6640625" customWidth="1"/>
    <col min="23" max="23" width="26.1640625" style="68" customWidth="1"/>
  </cols>
  <sheetData>
    <row r="1" spans="1:23">
      <c r="A1" s="16"/>
      <c r="B1" s="16"/>
      <c r="C1" s="16"/>
      <c r="D1" s="16"/>
      <c r="E1" s="16"/>
      <c r="F1" s="80" t="s">
        <v>42</v>
      </c>
      <c r="G1" s="75"/>
      <c r="H1" s="81"/>
      <c r="I1" s="80" t="s">
        <v>2399</v>
      </c>
      <c r="J1" s="75"/>
      <c r="K1" s="75"/>
      <c r="L1" s="75"/>
      <c r="M1" s="75"/>
      <c r="N1" s="75"/>
      <c r="O1" s="75"/>
      <c r="P1" s="75"/>
      <c r="Q1" s="75"/>
      <c r="R1" s="81"/>
      <c r="S1" s="82" t="s">
        <v>61</v>
      </c>
      <c r="T1" s="75"/>
      <c r="U1" s="75"/>
      <c r="V1" s="81"/>
      <c r="W1" s="66"/>
    </row>
    <row r="2" spans="1:23" ht="28">
      <c r="A2" s="14" t="s">
        <v>43</v>
      </c>
      <c r="B2" s="21" t="s">
        <v>44</v>
      </c>
      <c r="C2" s="22" t="s">
        <v>45</v>
      </c>
      <c r="D2" s="21" t="s">
        <v>46</v>
      </c>
      <c r="E2" s="21" t="s">
        <v>47</v>
      </c>
      <c r="F2" s="23">
        <v>4.0999999999999996</v>
      </c>
      <c r="G2" s="24">
        <v>4.2</v>
      </c>
      <c r="H2" s="25">
        <v>4.3</v>
      </c>
      <c r="I2" s="23" t="s">
        <v>24</v>
      </c>
      <c r="J2" s="24" t="s">
        <v>9</v>
      </c>
      <c r="K2" s="24" t="s">
        <v>18</v>
      </c>
      <c r="L2" s="24" t="s">
        <v>15</v>
      </c>
      <c r="M2" s="24" t="s">
        <v>12</v>
      </c>
      <c r="N2" s="24" t="s">
        <v>31</v>
      </c>
      <c r="O2" s="24" t="s">
        <v>21</v>
      </c>
      <c r="P2" s="24" t="s">
        <v>6</v>
      </c>
      <c r="Q2" s="24" t="s">
        <v>27</v>
      </c>
      <c r="R2" s="25" t="s">
        <v>34</v>
      </c>
      <c r="S2" s="18" t="s">
        <v>62</v>
      </c>
      <c r="T2" s="18" t="s">
        <v>63</v>
      </c>
      <c r="U2" s="18" t="s">
        <v>64</v>
      </c>
      <c r="V2" s="22" t="s">
        <v>65</v>
      </c>
      <c r="W2" s="21" t="s">
        <v>48</v>
      </c>
    </row>
    <row r="3" spans="1:23" ht="21">
      <c r="A3" s="15" t="str">
        <f ca="1">IFERROR(__xludf.DUMMYFUNCTION("filter('Raw Data GCSE'!B2:S366,'Raw Data GCSE'!B2:B366&lt;&gt;"""")"),"GCSE")</f>
        <v>GCSE</v>
      </c>
      <c r="B3" s="17">
        <f ca="1">IFERROR(__xludf.DUMMYFUNCTION("""COMPUTED_VALUE"""),1)</f>
        <v>1</v>
      </c>
      <c r="C3" s="19" t="str">
        <f ca="1">IFERROR(__xludf.DUMMYFUNCTION("""COMPUTED_VALUE"""),"Programming part 1 - Sequence")</f>
        <v>Programming part 1 - Sequence</v>
      </c>
      <c r="D3" s="17">
        <f ca="1">IFERROR(__xludf.DUMMYFUNCTION("""COMPUTED_VALUE"""),1)</f>
        <v>1</v>
      </c>
      <c r="E3" s="20" t="str">
        <f ca="1">IFERROR(__xludf.DUMMYFUNCTION("""COMPUTED_VALUE"""),"Compare how humans and computers interpret instructions")</f>
        <v>Compare how humans and computers interpret instructions</v>
      </c>
      <c r="F3" s="26" t="b">
        <f ca="1">IFERROR(__xludf.DUMMYFUNCTION("""COMPUTED_VALUE"""),TRUE)</f>
        <v>1</v>
      </c>
      <c r="G3" s="26" t="b">
        <f ca="1">IFERROR(__xludf.DUMMYFUNCTION("""COMPUTED_VALUE"""),TRUE)</f>
        <v>1</v>
      </c>
      <c r="H3" s="27"/>
      <c r="I3" s="26" t="b">
        <f ca="1">IFERROR(__xludf.DUMMYFUNCTION("""COMPUTED_VALUE"""),TRUE)</f>
        <v>1</v>
      </c>
      <c r="J3" s="26"/>
      <c r="K3" s="26" t="b">
        <f ca="1">IFERROR(__xludf.DUMMYFUNCTION("""COMPUTED_VALUE"""),TRUE)</f>
        <v>1</v>
      </c>
      <c r="L3" s="26"/>
      <c r="M3" s="26"/>
      <c r="N3" s="26"/>
      <c r="O3" s="26"/>
      <c r="P3" s="26"/>
      <c r="Q3" s="26" t="b">
        <f ca="1">IFERROR(__xludf.DUMMYFUNCTION("""COMPUTED_VALUE"""),TRUE)</f>
        <v>1</v>
      </c>
      <c r="R3" s="27"/>
      <c r="S3" s="28" t="s">
        <v>66</v>
      </c>
      <c r="T3" s="28" t="s">
        <v>25</v>
      </c>
      <c r="U3" s="28" t="s">
        <v>67</v>
      </c>
      <c r="V3" s="29" t="s">
        <v>68</v>
      </c>
      <c r="W3" s="28"/>
    </row>
    <row r="4" spans="1:23" ht="21">
      <c r="A4" s="15" t="str">
        <f ca="1">IFERROR(__xludf.DUMMYFUNCTION("""COMPUTED_VALUE"""),"GCSE")</f>
        <v>GCSE</v>
      </c>
      <c r="B4" s="17">
        <f ca="1">IFERROR(__xludf.DUMMYFUNCTION("""COMPUTED_VALUE"""),1)</f>
        <v>1</v>
      </c>
      <c r="C4" s="19" t="str">
        <f ca="1">IFERROR(__xludf.DUMMYFUNCTION("""COMPUTED_VALUE"""),"Programming part 1 - Sequence")</f>
        <v>Programming part 1 - Sequence</v>
      </c>
      <c r="D4" s="17">
        <f ca="1">IFERROR(__xludf.DUMMYFUNCTION("""COMPUTED_VALUE"""),1)</f>
        <v>1</v>
      </c>
      <c r="E4" s="20" t="str">
        <f ca="1">IFERROR(__xludf.DUMMYFUNCTION("""COMPUTED_VALUE"""),"Describe why translators are necessary")</f>
        <v>Describe why translators are necessary</v>
      </c>
      <c r="F4" s="26" t="b">
        <f ca="1">IFERROR(__xludf.DUMMYFUNCTION("""COMPUTED_VALUE"""),TRUE)</f>
        <v>1</v>
      </c>
      <c r="G4" s="26" t="b">
        <f ca="1">IFERROR(__xludf.DUMMYFUNCTION("""COMPUTED_VALUE"""),TRUE)</f>
        <v>1</v>
      </c>
      <c r="H4" s="27"/>
      <c r="I4" s="26"/>
      <c r="J4" s="26"/>
      <c r="K4" s="26" t="b">
        <f ca="1">IFERROR(__xludf.DUMMYFUNCTION("""COMPUTED_VALUE"""),TRUE)</f>
        <v>1</v>
      </c>
      <c r="L4" s="26"/>
      <c r="M4" s="26"/>
      <c r="N4" s="26"/>
      <c r="O4" s="26"/>
      <c r="P4" s="26"/>
      <c r="Q4" s="26" t="b">
        <f ca="1">IFERROR(__xludf.DUMMYFUNCTION("""COMPUTED_VALUE"""),TRUE)</f>
        <v>1</v>
      </c>
      <c r="R4" s="27"/>
      <c r="S4" s="28" t="s">
        <v>66</v>
      </c>
      <c r="T4" s="28" t="s">
        <v>25</v>
      </c>
      <c r="U4" s="28" t="s">
        <v>67</v>
      </c>
      <c r="V4" s="29"/>
      <c r="W4" s="28"/>
    </row>
    <row r="5" spans="1:23" ht="21">
      <c r="A5" s="15" t="str">
        <f ca="1">IFERROR(__xludf.DUMMYFUNCTION("""COMPUTED_VALUE"""),"GCSE")</f>
        <v>GCSE</v>
      </c>
      <c r="B5" s="17">
        <f ca="1">IFERROR(__xludf.DUMMYFUNCTION("""COMPUTED_VALUE"""),1)</f>
        <v>1</v>
      </c>
      <c r="C5" s="19" t="str">
        <f ca="1">IFERROR(__xludf.DUMMYFUNCTION("""COMPUTED_VALUE"""),"Programming part 1 - Sequence")</f>
        <v>Programming part 1 - Sequence</v>
      </c>
      <c r="D5" s="17">
        <f ca="1">IFERROR(__xludf.DUMMYFUNCTION("""COMPUTED_VALUE"""),1)</f>
        <v>1</v>
      </c>
      <c r="E5" s="20" t="str">
        <f ca="1">IFERROR(__xludf.DUMMYFUNCTION("""COMPUTED_VALUE"""),"Explain the differences between high- and low-level programming languages")</f>
        <v>Explain the differences between high- and low-level programming languages</v>
      </c>
      <c r="F5" s="26" t="b">
        <f ca="1">IFERROR(__xludf.DUMMYFUNCTION("""COMPUTED_VALUE"""),TRUE)</f>
        <v>1</v>
      </c>
      <c r="G5" s="26" t="b">
        <f ca="1">IFERROR(__xludf.DUMMYFUNCTION("""COMPUTED_VALUE"""),TRUE)</f>
        <v>1</v>
      </c>
      <c r="H5" s="27"/>
      <c r="I5" s="26"/>
      <c r="J5" s="26"/>
      <c r="K5" s="26" t="b">
        <f ca="1">IFERROR(__xludf.DUMMYFUNCTION("""COMPUTED_VALUE"""),TRUE)</f>
        <v>1</v>
      </c>
      <c r="L5" s="26"/>
      <c r="M5" s="26"/>
      <c r="N5" s="26"/>
      <c r="O5" s="26"/>
      <c r="P5" s="26"/>
      <c r="Q5" s="26" t="b">
        <f ca="1">IFERROR(__xludf.DUMMYFUNCTION("""COMPUTED_VALUE"""),TRUE)</f>
        <v>1</v>
      </c>
      <c r="R5" s="27"/>
      <c r="S5" s="28" t="s">
        <v>66</v>
      </c>
      <c r="T5" s="28" t="s">
        <v>25</v>
      </c>
      <c r="U5" s="28" t="s">
        <v>67</v>
      </c>
      <c r="V5" s="29" t="s">
        <v>68</v>
      </c>
      <c r="W5" s="28"/>
    </row>
    <row r="6" spans="1:23" ht="21">
      <c r="A6" s="15" t="str">
        <f ca="1">IFERROR(__xludf.DUMMYFUNCTION("""COMPUTED_VALUE"""),"GCSE")</f>
        <v>GCSE</v>
      </c>
      <c r="B6" s="17">
        <f ca="1">IFERROR(__xludf.DUMMYFUNCTION("""COMPUTED_VALUE"""),1)</f>
        <v>1</v>
      </c>
      <c r="C6" s="19" t="str">
        <f ca="1">IFERROR(__xludf.DUMMYFUNCTION("""COMPUTED_VALUE"""),"Programming part 1 - Sequence")</f>
        <v>Programming part 1 - Sequence</v>
      </c>
      <c r="D6" s="17">
        <f ca="1">IFERROR(__xludf.DUMMYFUNCTION("""COMPUTED_VALUE"""),1)</f>
        <v>1</v>
      </c>
      <c r="E6" s="20" t="str">
        <f ca="1">IFERROR(__xludf.DUMMYFUNCTION("""COMPUTED_VALUE"""),"List the differences, benefits and drawbacks of using a compiler or an interpreter")</f>
        <v>List the differences, benefits and drawbacks of using a compiler or an interpreter</v>
      </c>
      <c r="F6" s="26" t="b">
        <f ca="1">IFERROR(__xludf.DUMMYFUNCTION("""COMPUTED_VALUE"""),TRUE)</f>
        <v>1</v>
      </c>
      <c r="G6" s="26" t="b">
        <f ca="1">IFERROR(__xludf.DUMMYFUNCTION("""COMPUTED_VALUE"""),TRUE)</f>
        <v>1</v>
      </c>
      <c r="H6" s="27"/>
      <c r="I6" s="26"/>
      <c r="J6" s="26"/>
      <c r="K6" s="26" t="b">
        <f ca="1">IFERROR(__xludf.DUMMYFUNCTION("""COMPUTED_VALUE"""),TRUE)</f>
        <v>1</v>
      </c>
      <c r="L6" s="26"/>
      <c r="M6" s="26"/>
      <c r="N6" s="26"/>
      <c r="O6" s="26"/>
      <c r="P6" s="26"/>
      <c r="Q6" s="26" t="b">
        <f ca="1">IFERROR(__xludf.DUMMYFUNCTION("""COMPUTED_VALUE"""),TRUE)</f>
        <v>1</v>
      </c>
      <c r="R6" s="27"/>
      <c r="S6" s="28" t="s">
        <v>66</v>
      </c>
      <c r="T6" s="28"/>
      <c r="U6" s="28"/>
      <c r="V6" s="29"/>
      <c r="W6" s="28"/>
    </row>
    <row r="7" spans="1:23" ht="21">
      <c r="A7" s="15" t="str">
        <f ca="1">IFERROR(__xludf.DUMMYFUNCTION("""COMPUTED_VALUE"""),"GCSE")</f>
        <v>GCSE</v>
      </c>
      <c r="B7" s="17">
        <f ca="1">IFERROR(__xludf.DUMMYFUNCTION("""COMPUTED_VALUE"""),1)</f>
        <v>1</v>
      </c>
      <c r="C7" s="19" t="str">
        <f ca="1">IFERROR(__xludf.DUMMYFUNCTION("""COMPUTED_VALUE"""),"Programming part 1 - Sequence")</f>
        <v>Programming part 1 - Sequence</v>
      </c>
      <c r="D7" s="17">
        <f ca="1">IFERROR(__xludf.DUMMYFUNCTION("""COMPUTED_VALUE"""),2)</f>
        <v>2</v>
      </c>
      <c r="E7" s="20" t="str">
        <f ca="1">IFERROR(__xludf.DUMMYFUNCTION("""COMPUTED_VALUE"""),"Define a sequence as instructions performed in order, with each executed in turn")</f>
        <v>Define a sequence as instructions performed in order, with each executed in turn</v>
      </c>
      <c r="F7" s="26" t="b">
        <f ca="1">IFERROR(__xludf.DUMMYFUNCTION("""COMPUTED_VALUE"""),TRUE)</f>
        <v>1</v>
      </c>
      <c r="G7" s="26" t="b">
        <f ca="1">IFERROR(__xludf.DUMMYFUNCTION("""COMPUTED_VALUE"""),TRUE)</f>
        <v>1</v>
      </c>
      <c r="H7" s="27"/>
      <c r="I7" s="26" t="b">
        <f ca="1">IFERROR(__xludf.DUMMYFUNCTION("""COMPUTED_VALUE"""),TRUE)</f>
        <v>1</v>
      </c>
      <c r="J7" s="26"/>
      <c r="K7" s="26"/>
      <c r="L7" s="26"/>
      <c r="M7" s="26"/>
      <c r="N7" s="26"/>
      <c r="O7" s="26"/>
      <c r="P7" s="26"/>
      <c r="Q7" s="26" t="b">
        <f ca="1">IFERROR(__xludf.DUMMYFUNCTION("""COMPUTED_VALUE"""),TRUE)</f>
        <v>1</v>
      </c>
      <c r="R7" s="27"/>
      <c r="S7" s="28" t="s">
        <v>66</v>
      </c>
      <c r="T7" s="28" t="s">
        <v>25</v>
      </c>
      <c r="U7" s="28"/>
      <c r="V7" s="29" t="s">
        <v>69</v>
      </c>
      <c r="W7" s="28"/>
    </row>
    <row r="8" spans="1:23" ht="28">
      <c r="A8" s="15" t="str">
        <f ca="1">IFERROR(__xludf.DUMMYFUNCTION("""COMPUTED_VALUE"""),"GCSE")</f>
        <v>GCSE</v>
      </c>
      <c r="B8" s="17">
        <f ca="1">IFERROR(__xludf.DUMMYFUNCTION("""COMPUTED_VALUE"""),1)</f>
        <v>1</v>
      </c>
      <c r="C8" s="19" t="str">
        <f ca="1">IFERROR(__xludf.DUMMYFUNCTION("""COMPUTED_VALUE"""),"Programming part 1 - Sequence")</f>
        <v>Programming part 1 - Sequence</v>
      </c>
      <c r="D8" s="17">
        <f ca="1">IFERROR(__xludf.DUMMYFUNCTION("""COMPUTED_VALUE"""),2)</f>
        <v>2</v>
      </c>
      <c r="E8" s="20" t="str">
        <f ca="1">IFERROR(__xludf.DUMMYFUNCTION("""COMPUTED_VALUE"""),"Describe the tools an IDE provides (editors, error diagnostics, run-time environment, translators)")</f>
        <v>Describe the tools an IDE provides (editors, error diagnostics, run-time environment, translators)</v>
      </c>
      <c r="F8" s="26" t="b">
        <f ca="1">IFERROR(__xludf.DUMMYFUNCTION("""COMPUTED_VALUE"""),TRUE)</f>
        <v>1</v>
      </c>
      <c r="G8" s="26" t="b">
        <f ca="1">IFERROR(__xludf.DUMMYFUNCTION("""COMPUTED_VALUE"""),TRUE)</f>
        <v>1</v>
      </c>
      <c r="H8" s="27"/>
      <c r="I8" s="26"/>
      <c r="J8" s="26"/>
      <c r="K8" s="26"/>
      <c r="L8" s="26"/>
      <c r="M8" s="26"/>
      <c r="N8" s="26" t="b">
        <f ca="1">IFERROR(__xludf.DUMMYFUNCTION("""COMPUTED_VALUE"""),TRUE)</f>
        <v>1</v>
      </c>
      <c r="O8" s="26"/>
      <c r="P8" s="26"/>
      <c r="Q8" s="26" t="b">
        <f ca="1">IFERROR(__xludf.DUMMYFUNCTION("""COMPUTED_VALUE"""),TRUE)</f>
        <v>1</v>
      </c>
      <c r="R8" s="27"/>
      <c r="S8" s="28" t="s">
        <v>66</v>
      </c>
      <c r="T8" s="28" t="s">
        <v>25</v>
      </c>
      <c r="U8" s="28" t="s">
        <v>67</v>
      </c>
      <c r="V8" s="29" t="s">
        <v>69</v>
      </c>
      <c r="W8" s="28"/>
    </row>
    <row r="9" spans="1:23" ht="28">
      <c r="A9" s="15" t="str">
        <f ca="1">IFERROR(__xludf.DUMMYFUNCTION("""COMPUTED_VALUE"""),"GCSE")</f>
        <v>GCSE</v>
      </c>
      <c r="B9" s="17">
        <f ca="1">IFERROR(__xludf.DUMMYFUNCTION("""COMPUTED_VALUE"""),1)</f>
        <v>1</v>
      </c>
      <c r="C9" s="19" t="str">
        <f ca="1">IFERROR(__xludf.DUMMYFUNCTION("""COMPUTED_VALUE"""),"Programming part 1 - Sequence")</f>
        <v>Programming part 1 - Sequence</v>
      </c>
      <c r="D9" s="17">
        <f ca="1">IFERROR(__xludf.DUMMYFUNCTION("""COMPUTED_VALUE"""),2)</f>
        <v>2</v>
      </c>
      <c r="E9" s="20" t="str">
        <f ca="1">IFERROR(__xludf.DUMMYFUNCTION("""COMPUTED_VALUE"""),"Interpret error messages and define error types and identify them in programs (logic, syntax)")</f>
        <v>Interpret error messages and define error types and identify them in programs (logic, syntax)</v>
      </c>
      <c r="F9" s="26" t="b">
        <f ca="1">IFERROR(__xludf.DUMMYFUNCTION("""COMPUTED_VALUE"""),TRUE)</f>
        <v>1</v>
      </c>
      <c r="G9" s="26" t="b">
        <f ca="1">IFERROR(__xludf.DUMMYFUNCTION("""COMPUTED_VALUE"""),TRUE)</f>
        <v>1</v>
      </c>
      <c r="H9" s="27"/>
      <c r="I9" s="26" t="b">
        <f ca="1">IFERROR(__xludf.DUMMYFUNCTION("""COMPUTED_VALUE"""),TRUE)</f>
        <v>1</v>
      </c>
      <c r="J9" s="26"/>
      <c r="K9" s="26"/>
      <c r="L9" s="26"/>
      <c r="M9" s="26"/>
      <c r="N9" s="26"/>
      <c r="O9" s="26"/>
      <c r="P9" s="26"/>
      <c r="Q9" s="26" t="b">
        <f ca="1">IFERROR(__xludf.DUMMYFUNCTION("""COMPUTED_VALUE"""),TRUE)</f>
        <v>1</v>
      </c>
      <c r="R9" s="27"/>
      <c r="S9" s="28" t="s">
        <v>66</v>
      </c>
      <c r="T9" s="28" t="s">
        <v>25</v>
      </c>
      <c r="U9" s="28" t="s">
        <v>67</v>
      </c>
      <c r="V9" s="29"/>
      <c r="W9" s="28"/>
    </row>
    <row r="10" spans="1:23" ht="21">
      <c r="A10" s="15" t="str">
        <f ca="1">IFERROR(__xludf.DUMMYFUNCTION("""COMPUTED_VALUE"""),"GCSE")</f>
        <v>GCSE</v>
      </c>
      <c r="B10" s="17">
        <f ca="1">IFERROR(__xludf.DUMMYFUNCTION("""COMPUTED_VALUE"""),1)</f>
        <v>1</v>
      </c>
      <c r="C10" s="19" t="str">
        <f ca="1">IFERROR(__xludf.DUMMYFUNCTION("""COMPUTED_VALUE"""),"Programming part 1 - Sequence")</f>
        <v>Programming part 1 - Sequence</v>
      </c>
      <c r="D10" s="17">
        <f ca="1">IFERROR(__xludf.DUMMYFUNCTION("""COMPUTED_VALUE"""),2)</f>
        <v>2</v>
      </c>
      <c r="E10" s="20" t="str">
        <f ca="1">IFERROR(__xludf.DUMMYFUNCTION("""COMPUTED_VALUE"""),"Predict the outcome of a sequence and modify it")</f>
        <v>Predict the outcome of a sequence and modify it</v>
      </c>
      <c r="F10" s="26" t="b">
        <f ca="1">IFERROR(__xludf.DUMMYFUNCTION("""COMPUTED_VALUE"""),TRUE)</f>
        <v>1</v>
      </c>
      <c r="G10" s="26" t="b">
        <f ca="1">IFERROR(__xludf.DUMMYFUNCTION("""COMPUTED_VALUE"""),TRUE)</f>
        <v>1</v>
      </c>
      <c r="H10" s="27"/>
      <c r="I10" s="26" t="b">
        <f ca="1">IFERROR(__xludf.DUMMYFUNCTION("""COMPUTED_VALUE"""),TRUE)</f>
        <v>1</v>
      </c>
      <c r="J10" s="26"/>
      <c r="K10" s="26"/>
      <c r="L10" s="26"/>
      <c r="M10" s="26"/>
      <c r="N10" s="26"/>
      <c r="O10" s="26"/>
      <c r="P10" s="26"/>
      <c r="Q10" s="26" t="b">
        <f ca="1">IFERROR(__xludf.DUMMYFUNCTION("""COMPUTED_VALUE"""),TRUE)</f>
        <v>1</v>
      </c>
      <c r="R10" s="27"/>
      <c r="S10" s="28" t="s">
        <v>28</v>
      </c>
      <c r="T10" s="28" t="s">
        <v>25</v>
      </c>
      <c r="U10" s="28" t="s">
        <v>67</v>
      </c>
      <c r="V10" s="29"/>
      <c r="W10" s="28"/>
    </row>
    <row r="11" spans="1:23" ht="21">
      <c r="A11" s="15" t="str">
        <f ca="1">IFERROR(__xludf.DUMMYFUNCTION("""COMPUTED_VALUE"""),"GCSE")</f>
        <v>GCSE</v>
      </c>
      <c r="B11" s="17">
        <f ca="1">IFERROR(__xludf.DUMMYFUNCTION("""COMPUTED_VALUE"""),1)</f>
        <v>1</v>
      </c>
      <c r="C11" s="19" t="str">
        <f ca="1">IFERROR(__xludf.DUMMYFUNCTION("""COMPUTED_VALUE"""),"Programming part 1 - Sequence")</f>
        <v>Programming part 1 - Sequence</v>
      </c>
      <c r="D11" s="17">
        <f ca="1">IFERROR(__xludf.DUMMYFUNCTION("""COMPUTED_VALUE"""),2)</f>
        <v>2</v>
      </c>
      <c r="E11" s="20" t="str">
        <f ca="1">IFERROR(__xludf.DUMMYFUNCTION("""COMPUTED_VALUE"""),"Use subroutines in programs")</f>
        <v>Use subroutines in programs</v>
      </c>
      <c r="F11" s="26" t="b">
        <f ca="1">IFERROR(__xludf.DUMMYFUNCTION("""COMPUTED_VALUE"""),TRUE)</f>
        <v>1</v>
      </c>
      <c r="G11" s="26" t="b">
        <f ca="1">IFERROR(__xludf.DUMMYFUNCTION("""COMPUTED_VALUE"""),TRUE)</f>
        <v>1</v>
      </c>
      <c r="H11" s="27"/>
      <c r="I11" s="26" t="b">
        <f ca="1">IFERROR(__xludf.DUMMYFUNCTION("""COMPUTED_VALUE"""),TRUE)</f>
        <v>1</v>
      </c>
      <c r="J11" s="26"/>
      <c r="K11" s="26"/>
      <c r="L11" s="26"/>
      <c r="M11" s="26"/>
      <c r="N11" s="26"/>
      <c r="O11" s="26"/>
      <c r="P11" s="26"/>
      <c r="Q11" s="26" t="b">
        <f ca="1">IFERROR(__xludf.DUMMYFUNCTION("""COMPUTED_VALUE"""),TRUE)</f>
        <v>1</v>
      </c>
      <c r="R11" s="27"/>
      <c r="S11" s="28" t="s">
        <v>66</v>
      </c>
      <c r="T11" s="28" t="s">
        <v>25</v>
      </c>
      <c r="U11" s="28"/>
      <c r="V11" s="29" t="s">
        <v>69</v>
      </c>
      <c r="W11" s="28"/>
    </row>
    <row r="12" spans="1:23" ht="21">
      <c r="A12" s="15" t="str">
        <f ca="1">IFERROR(__xludf.DUMMYFUNCTION("""COMPUTED_VALUE"""),"GCSE")</f>
        <v>GCSE</v>
      </c>
      <c r="B12" s="17">
        <f ca="1">IFERROR(__xludf.DUMMYFUNCTION("""COMPUTED_VALUE"""),1)</f>
        <v>1</v>
      </c>
      <c r="C12" s="19" t="str">
        <f ca="1">IFERROR(__xludf.DUMMYFUNCTION("""COMPUTED_VALUE"""),"Programming part 1 - Sequence")</f>
        <v>Programming part 1 - Sequence</v>
      </c>
      <c r="D12" s="17">
        <f ca="1">IFERROR(__xludf.DUMMYFUNCTION("""COMPUTED_VALUE"""),3)</f>
        <v>3</v>
      </c>
      <c r="E12" s="20" t="str">
        <f ca="1">IFERROR(__xludf.DUMMYFUNCTION("""COMPUTED_VALUE"""),"Demonstrate appropriate use of naming conventions")</f>
        <v>Demonstrate appropriate use of naming conventions</v>
      </c>
      <c r="F12" s="26" t="b">
        <f ca="1">IFERROR(__xludf.DUMMYFUNCTION("""COMPUTED_VALUE"""),TRUE)</f>
        <v>1</v>
      </c>
      <c r="G12" s="26" t="b">
        <f ca="1">IFERROR(__xludf.DUMMYFUNCTION("""COMPUTED_VALUE"""),TRUE)</f>
        <v>1</v>
      </c>
      <c r="H12" s="27"/>
      <c r="I12" s="26"/>
      <c r="J12" s="26"/>
      <c r="K12" s="26"/>
      <c r="L12" s="26"/>
      <c r="M12" s="26"/>
      <c r="N12" s="26"/>
      <c r="O12" s="26"/>
      <c r="P12" s="26"/>
      <c r="Q12" s="26" t="b">
        <f ca="1">IFERROR(__xludf.DUMMYFUNCTION("""COMPUTED_VALUE"""),TRUE)</f>
        <v>1</v>
      </c>
      <c r="R12" s="27"/>
      <c r="S12" s="28" t="s">
        <v>66</v>
      </c>
      <c r="T12" s="28" t="s">
        <v>25</v>
      </c>
      <c r="U12" s="28" t="s">
        <v>67</v>
      </c>
      <c r="V12" s="29" t="s">
        <v>69</v>
      </c>
      <c r="W12" s="28"/>
    </row>
    <row r="13" spans="1:23" ht="21">
      <c r="A13" s="15" t="str">
        <f ca="1">IFERROR(__xludf.DUMMYFUNCTION("""COMPUTED_VALUE"""),"GCSE")</f>
        <v>GCSE</v>
      </c>
      <c r="B13" s="17">
        <f ca="1">IFERROR(__xludf.DUMMYFUNCTION("""COMPUTED_VALUE"""),1)</f>
        <v>1</v>
      </c>
      <c r="C13" s="19" t="str">
        <f ca="1">IFERROR(__xludf.DUMMYFUNCTION("""COMPUTED_VALUE"""),"Programming part 1 - Sequence")</f>
        <v>Programming part 1 - Sequence</v>
      </c>
      <c r="D13" s="17">
        <f ca="1">IFERROR(__xludf.DUMMYFUNCTION("""COMPUTED_VALUE"""),3)</f>
        <v>3</v>
      </c>
      <c r="E13" s="20" t="str">
        <f ca="1">IFERROR(__xludf.DUMMYFUNCTION("""COMPUTED_VALUE"""),"Determine the need for variables")</f>
        <v>Determine the need for variables</v>
      </c>
      <c r="F13" s="26" t="b">
        <f ca="1">IFERROR(__xludf.DUMMYFUNCTION("""COMPUTED_VALUE"""),TRUE)</f>
        <v>1</v>
      </c>
      <c r="G13" s="26" t="b">
        <f ca="1">IFERROR(__xludf.DUMMYFUNCTION("""COMPUTED_VALUE"""),TRUE)</f>
        <v>1</v>
      </c>
      <c r="H13" s="27"/>
      <c r="I13" s="26" t="b">
        <f ca="1">IFERROR(__xludf.DUMMYFUNCTION("""COMPUTED_VALUE"""),TRUE)</f>
        <v>1</v>
      </c>
      <c r="J13" s="26"/>
      <c r="K13" s="26"/>
      <c r="L13" s="26"/>
      <c r="M13" s="26"/>
      <c r="N13" s="26"/>
      <c r="O13" s="26"/>
      <c r="P13" s="26"/>
      <c r="Q13" s="26" t="b">
        <f ca="1">IFERROR(__xludf.DUMMYFUNCTION("""COMPUTED_VALUE"""),TRUE)</f>
        <v>1</v>
      </c>
      <c r="R13" s="27"/>
      <c r="S13" s="28" t="s">
        <v>66</v>
      </c>
      <c r="T13" s="28" t="s">
        <v>25</v>
      </c>
      <c r="U13" s="28" t="s">
        <v>67</v>
      </c>
      <c r="V13" s="29" t="s">
        <v>69</v>
      </c>
      <c r="W13" s="28"/>
    </row>
    <row r="14" spans="1:23" ht="21">
      <c r="A14" s="15" t="str">
        <f ca="1">IFERROR(__xludf.DUMMYFUNCTION("""COMPUTED_VALUE"""),"GCSE")</f>
        <v>GCSE</v>
      </c>
      <c r="B14" s="17">
        <f ca="1">IFERROR(__xludf.DUMMYFUNCTION("""COMPUTED_VALUE"""),1)</f>
        <v>1</v>
      </c>
      <c r="C14" s="19" t="str">
        <f ca="1">IFERROR(__xludf.DUMMYFUNCTION("""COMPUTED_VALUE"""),"Programming part 1 - Sequence")</f>
        <v>Programming part 1 - Sequence</v>
      </c>
      <c r="D14" s="17">
        <f ca="1">IFERROR(__xludf.DUMMYFUNCTION("""COMPUTED_VALUE"""),3)</f>
        <v>3</v>
      </c>
      <c r="E14" s="20" t="str">
        <f ca="1">IFERROR(__xludf.DUMMYFUNCTION("""COMPUTED_VALUE"""),"Distinguish between declaration, initialisation and assignment of variables")</f>
        <v>Distinguish between declaration, initialisation and assignment of variables</v>
      </c>
      <c r="F14" s="26" t="b">
        <f ca="1">IFERROR(__xludf.DUMMYFUNCTION("""COMPUTED_VALUE"""),TRUE)</f>
        <v>1</v>
      </c>
      <c r="G14" s="26" t="b">
        <f ca="1">IFERROR(__xludf.DUMMYFUNCTION("""COMPUTED_VALUE"""),TRUE)</f>
        <v>1</v>
      </c>
      <c r="H14" s="27"/>
      <c r="I14" s="26"/>
      <c r="J14" s="26"/>
      <c r="K14" s="26"/>
      <c r="L14" s="26"/>
      <c r="M14" s="26"/>
      <c r="N14" s="26"/>
      <c r="O14" s="26"/>
      <c r="P14" s="26"/>
      <c r="Q14" s="26" t="b">
        <f ca="1">IFERROR(__xludf.DUMMYFUNCTION("""COMPUTED_VALUE"""),TRUE)</f>
        <v>1</v>
      </c>
      <c r="R14" s="27"/>
      <c r="S14" s="28" t="s">
        <v>66</v>
      </c>
      <c r="T14" s="28" t="s">
        <v>25</v>
      </c>
      <c r="U14" s="28" t="s">
        <v>67</v>
      </c>
      <c r="V14" s="29" t="s">
        <v>69</v>
      </c>
      <c r="W14" s="28"/>
    </row>
    <row r="15" spans="1:23" ht="21">
      <c r="A15" s="15" t="str">
        <f ca="1">IFERROR(__xludf.DUMMYFUNCTION("""COMPUTED_VALUE"""),"GCSE")</f>
        <v>GCSE</v>
      </c>
      <c r="B15" s="17">
        <f ca="1">IFERROR(__xludf.DUMMYFUNCTION("""COMPUTED_VALUE"""),1)</f>
        <v>1</v>
      </c>
      <c r="C15" s="19" t="str">
        <f ca="1">IFERROR(__xludf.DUMMYFUNCTION("""COMPUTED_VALUE"""),"Programming part 1 - Sequence")</f>
        <v>Programming part 1 - Sequence</v>
      </c>
      <c r="D15" s="17">
        <f ca="1">IFERROR(__xludf.DUMMYFUNCTION("""COMPUTED_VALUE"""),3)</f>
        <v>3</v>
      </c>
      <c r="E15" s="20" t="str">
        <f ca="1">IFERROR(__xludf.DUMMYFUNCTION("""COMPUTED_VALUE"""),"Output data (e.g. print (my_var))")</f>
        <v>Output data (e.g. print (my_var))</v>
      </c>
      <c r="F15" s="26" t="b">
        <f ca="1">IFERROR(__xludf.DUMMYFUNCTION("""COMPUTED_VALUE"""),TRUE)</f>
        <v>1</v>
      </c>
      <c r="G15" s="26" t="b">
        <f ca="1">IFERROR(__xludf.DUMMYFUNCTION("""COMPUTED_VALUE"""),TRUE)</f>
        <v>1</v>
      </c>
      <c r="H15" s="27"/>
      <c r="I15" s="26"/>
      <c r="J15" s="26"/>
      <c r="K15" s="26"/>
      <c r="L15" s="26"/>
      <c r="M15" s="26"/>
      <c r="N15" s="26"/>
      <c r="O15" s="26"/>
      <c r="P15" s="26"/>
      <c r="Q15" s="26" t="b">
        <f ca="1">IFERROR(__xludf.DUMMYFUNCTION("""COMPUTED_VALUE"""),TRUE)</f>
        <v>1</v>
      </c>
      <c r="R15" s="27"/>
      <c r="S15" s="28" t="s">
        <v>66</v>
      </c>
      <c r="T15" s="28" t="s">
        <v>25</v>
      </c>
      <c r="U15" s="28" t="s">
        <v>67</v>
      </c>
      <c r="V15" s="29" t="s">
        <v>69</v>
      </c>
      <c r="W15" s="28"/>
    </row>
    <row r="16" spans="1:23" ht="21">
      <c r="A16" s="15" t="str">
        <f ca="1">IFERROR(__xludf.DUMMYFUNCTION("""COMPUTED_VALUE"""),"GCSE")</f>
        <v>GCSE</v>
      </c>
      <c r="B16" s="17">
        <f ca="1">IFERROR(__xludf.DUMMYFUNCTION("""COMPUTED_VALUE"""),1)</f>
        <v>1</v>
      </c>
      <c r="C16" s="19" t="str">
        <f ca="1">IFERROR(__xludf.DUMMYFUNCTION("""COMPUTED_VALUE"""),"Programming part 1 - Sequence")</f>
        <v>Programming part 1 - Sequence</v>
      </c>
      <c r="D16" s="17">
        <f ca="1">IFERROR(__xludf.DUMMYFUNCTION("""COMPUTED_VALUE"""),3)</f>
        <v>3</v>
      </c>
      <c r="E16" s="20" t="str">
        <f ca="1">IFERROR(__xludf.DUMMYFUNCTION("""COMPUTED_VALUE"""),"Use meaningful identifiers")</f>
        <v>Use meaningful identifiers</v>
      </c>
      <c r="F16" s="26" t="b">
        <f ca="1">IFERROR(__xludf.DUMMYFUNCTION("""COMPUTED_VALUE"""),TRUE)</f>
        <v>1</v>
      </c>
      <c r="G16" s="26" t="b">
        <f ca="1">IFERROR(__xludf.DUMMYFUNCTION("""COMPUTED_VALUE"""),TRUE)</f>
        <v>1</v>
      </c>
      <c r="H16" s="27"/>
      <c r="I16" s="26"/>
      <c r="J16" s="26"/>
      <c r="K16" s="26"/>
      <c r="L16" s="26"/>
      <c r="M16" s="26"/>
      <c r="N16" s="26"/>
      <c r="O16" s="26"/>
      <c r="P16" s="26"/>
      <c r="Q16" s="26" t="b">
        <f ca="1">IFERROR(__xludf.DUMMYFUNCTION("""COMPUTED_VALUE"""),TRUE)</f>
        <v>1</v>
      </c>
      <c r="R16" s="27"/>
      <c r="S16" s="28" t="s">
        <v>66</v>
      </c>
      <c r="T16" s="28" t="s">
        <v>25</v>
      </c>
      <c r="U16" s="28" t="s">
        <v>67</v>
      </c>
      <c r="V16" s="29" t="s">
        <v>69</v>
      </c>
      <c r="W16" s="28"/>
    </row>
    <row r="17" spans="1:23" ht="21">
      <c r="A17" s="15" t="str">
        <f ca="1">IFERROR(__xludf.DUMMYFUNCTION("""COMPUTED_VALUE"""),"GCSE")</f>
        <v>GCSE</v>
      </c>
      <c r="B17" s="17">
        <f ca="1">IFERROR(__xludf.DUMMYFUNCTION("""COMPUTED_VALUE"""),1)</f>
        <v>1</v>
      </c>
      <c r="C17" s="19" t="str">
        <f ca="1">IFERROR(__xludf.DUMMYFUNCTION("""COMPUTED_VALUE"""),"Programming part 1 - Sequence")</f>
        <v>Programming part 1 - Sequence</v>
      </c>
      <c r="D17" s="17">
        <f ca="1">IFERROR(__xludf.DUMMYFUNCTION("""COMPUTED_VALUE"""),4)</f>
        <v>4</v>
      </c>
      <c r="E17" s="20" t="str">
        <f ca="1">IFERROR(__xludf.DUMMYFUNCTION("""COMPUTED_VALUE"""),"Cast variables by calling a function that will return a new value of the desired data type")</f>
        <v>Cast variables by calling a function that will return a new value of the desired data type</v>
      </c>
      <c r="F17" s="26" t="b">
        <f ca="1">IFERROR(__xludf.DUMMYFUNCTION("""COMPUTED_VALUE"""),TRUE)</f>
        <v>1</v>
      </c>
      <c r="G17" s="26" t="b">
        <f ca="1">IFERROR(__xludf.DUMMYFUNCTION("""COMPUTED_VALUE"""),TRUE)</f>
        <v>1</v>
      </c>
      <c r="H17" s="27"/>
      <c r="I17" s="26"/>
      <c r="J17" s="26"/>
      <c r="K17" s="26"/>
      <c r="L17" s="26"/>
      <c r="M17" s="26" t="b">
        <f ca="1">IFERROR(__xludf.DUMMYFUNCTION("""COMPUTED_VALUE"""),TRUE)</f>
        <v>1</v>
      </c>
      <c r="N17" s="26"/>
      <c r="O17" s="26"/>
      <c r="P17" s="26"/>
      <c r="Q17" s="26" t="b">
        <f ca="1">IFERROR(__xludf.DUMMYFUNCTION("""COMPUTED_VALUE"""),TRUE)</f>
        <v>1</v>
      </c>
      <c r="R17" s="27"/>
      <c r="S17" s="28" t="s">
        <v>66</v>
      </c>
      <c r="T17" s="28" t="s">
        <v>25</v>
      </c>
      <c r="U17" s="28" t="s">
        <v>67</v>
      </c>
      <c r="V17" s="29" t="s">
        <v>69</v>
      </c>
      <c r="W17" s="28"/>
    </row>
    <row r="18" spans="1:23" ht="21">
      <c r="A18" s="15" t="str">
        <f ca="1">IFERROR(__xludf.DUMMYFUNCTION("""COMPUTED_VALUE"""),"GCSE")</f>
        <v>GCSE</v>
      </c>
      <c r="B18" s="17">
        <f ca="1">IFERROR(__xludf.DUMMYFUNCTION("""COMPUTED_VALUE"""),1)</f>
        <v>1</v>
      </c>
      <c r="C18" s="19" t="str">
        <f ca="1">IFERROR(__xludf.DUMMYFUNCTION("""COMPUTED_VALUE"""),"Programming part 1 - Sequence")</f>
        <v>Programming part 1 - Sequence</v>
      </c>
      <c r="D18" s="17">
        <f ca="1">IFERROR(__xludf.DUMMYFUNCTION("""COMPUTED_VALUE"""),4)</f>
        <v>4</v>
      </c>
      <c r="E18" s="20" t="str">
        <f ca="1">IFERROR(__xludf.DUMMYFUNCTION("""COMPUTED_VALUE"""),"Define runtime errors in programs")</f>
        <v>Define runtime errors in programs</v>
      </c>
      <c r="F18" s="26" t="b">
        <f ca="1">IFERROR(__xludf.DUMMYFUNCTION("""COMPUTED_VALUE"""),TRUE)</f>
        <v>1</v>
      </c>
      <c r="G18" s="26" t="b">
        <f ca="1">IFERROR(__xludf.DUMMYFUNCTION("""COMPUTED_VALUE"""),TRUE)</f>
        <v>1</v>
      </c>
      <c r="H18" s="27"/>
      <c r="I18" s="26" t="b">
        <f ca="1">IFERROR(__xludf.DUMMYFUNCTION("""COMPUTED_VALUE"""),TRUE)</f>
        <v>1</v>
      </c>
      <c r="J18" s="26"/>
      <c r="K18" s="26"/>
      <c r="L18" s="26"/>
      <c r="M18" s="26"/>
      <c r="N18" s="26"/>
      <c r="O18" s="26"/>
      <c r="P18" s="26"/>
      <c r="Q18" s="26" t="b">
        <f ca="1">IFERROR(__xludf.DUMMYFUNCTION("""COMPUTED_VALUE"""),TRUE)</f>
        <v>1</v>
      </c>
      <c r="R18" s="27"/>
      <c r="S18" s="28" t="s">
        <v>66</v>
      </c>
      <c r="T18" s="28" t="s">
        <v>25</v>
      </c>
      <c r="U18" s="28" t="s">
        <v>67</v>
      </c>
      <c r="V18" s="29" t="s">
        <v>69</v>
      </c>
      <c r="W18" s="28"/>
    </row>
    <row r="19" spans="1:23" ht="21">
      <c r="A19" s="15" t="str">
        <f ca="1">IFERROR(__xludf.DUMMYFUNCTION("""COMPUTED_VALUE"""),"GCSE")</f>
        <v>GCSE</v>
      </c>
      <c r="B19" s="17">
        <f ca="1">IFERROR(__xludf.DUMMYFUNCTION("""COMPUTED_VALUE"""),1)</f>
        <v>1</v>
      </c>
      <c r="C19" s="19" t="str">
        <f ca="1">IFERROR(__xludf.DUMMYFUNCTION("""COMPUTED_VALUE"""),"Programming part 1 - Sequence")</f>
        <v>Programming part 1 - Sequence</v>
      </c>
      <c r="D19" s="17">
        <f ca="1">IFERROR(__xludf.DUMMYFUNCTION("""COMPUTED_VALUE"""),4)</f>
        <v>4</v>
      </c>
      <c r="E19" s="20" t="str">
        <f ca="1">IFERROR(__xludf.DUMMYFUNCTION("""COMPUTED_VALUE"""),"Define validation checks")</f>
        <v>Define validation checks</v>
      </c>
      <c r="F19" s="26" t="b">
        <f ca="1">IFERROR(__xludf.DUMMYFUNCTION("""COMPUTED_VALUE"""),TRUE)</f>
        <v>1</v>
      </c>
      <c r="G19" s="26" t="b">
        <f ca="1">IFERROR(__xludf.DUMMYFUNCTION("""COMPUTED_VALUE"""),TRUE)</f>
        <v>1</v>
      </c>
      <c r="H19" s="27"/>
      <c r="I19" s="26" t="b">
        <f ca="1">IFERROR(__xludf.DUMMYFUNCTION("""COMPUTED_VALUE"""),TRUE)</f>
        <v>1</v>
      </c>
      <c r="J19" s="26"/>
      <c r="K19" s="26"/>
      <c r="L19" s="26"/>
      <c r="M19" s="26"/>
      <c r="N19" s="26"/>
      <c r="O19" s="26"/>
      <c r="P19" s="26"/>
      <c r="Q19" s="26" t="b">
        <f ca="1">IFERROR(__xludf.DUMMYFUNCTION("""COMPUTED_VALUE"""),TRUE)</f>
        <v>1</v>
      </c>
      <c r="R19" s="27"/>
      <c r="S19" s="28" t="s">
        <v>66</v>
      </c>
      <c r="T19" s="28" t="s">
        <v>25</v>
      </c>
      <c r="U19" s="28" t="s">
        <v>67</v>
      </c>
      <c r="V19" s="29" t="s">
        <v>69</v>
      </c>
      <c r="W19" s="28"/>
    </row>
    <row r="20" spans="1:23" ht="21">
      <c r="A20" s="15" t="str">
        <f ca="1">IFERROR(__xludf.DUMMYFUNCTION("""COMPUTED_VALUE"""),"GCSE")</f>
        <v>GCSE</v>
      </c>
      <c r="B20" s="17">
        <f ca="1">IFERROR(__xludf.DUMMYFUNCTION("""COMPUTED_VALUE"""),1)</f>
        <v>1</v>
      </c>
      <c r="C20" s="19" t="str">
        <f ca="1">IFERROR(__xludf.DUMMYFUNCTION("""COMPUTED_VALUE"""),"Programming part 1 - Sequence")</f>
        <v>Programming part 1 - Sequence</v>
      </c>
      <c r="D20" s="17">
        <f ca="1">IFERROR(__xludf.DUMMYFUNCTION("""COMPUTED_VALUE"""),4)</f>
        <v>4</v>
      </c>
      <c r="E20" s="20" t="str">
        <f ca="1">IFERROR(__xludf.DUMMYFUNCTION("""COMPUTED_VALUE"""),"Differentiate between the data types; integer, real, Boolean, character, string")</f>
        <v>Differentiate between the data types; integer, real, Boolean, character, string</v>
      </c>
      <c r="F20" s="26" t="b">
        <f ca="1">IFERROR(__xludf.DUMMYFUNCTION("""COMPUTED_VALUE"""),TRUE)</f>
        <v>1</v>
      </c>
      <c r="G20" s="26" t="b">
        <f ca="1">IFERROR(__xludf.DUMMYFUNCTION("""COMPUTED_VALUE"""),TRUE)</f>
        <v>1</v>
      </c>
      <c r="H20" s="27"/>
      <c r="I20" s="26"/>
      <c r="J20" s="26"/>
      <c r="K20" s="26"/>
      <c r="L20" s="26"/>
      <c r="M20" s="26" t="b">
        <f ca="1">IFERROR(__xludf.DUMMYFUNCTION("""COMPUTED_VALUE"""),TRUE)</f>
        <v>1</v>
      </c>
      <c r="N20" s="26"/>
      <c r="O20" s="26"/>
      <c r="P20" s="26"/>
      <c r="Q20" s="26" t="b">
        <f ca="1">IFERROR(__xludf.DUMMYFUNCTION("""COMPUTED_VALUE"""),TRUE)</f>
        <v>1</v>
      </c>
      <c r="R20" s="27"/>
      <c r="S20" s="28" t="s">
        <v>66</v>
      </c>
      <c r="T20" s="28" t="s">
        <v>25</v>
      </c>
      <c r="U20" s="28" t="s">
        <v>67</v>
      </c>
      <c r="V20" s="29" t="s">
        <v>69</v>
      </c>
      <c r="W20" s="28"/>
    </row>
    <row r="21" spans="1:23" ht="21">
      <c r="A21" s="15" t="str">
        <f ca="1">IFERROR(__xludf.DUMMYFUNCTION("""COMPUTED_VALUE"""),"GCSE")</f>
        <v>GCSE</v>
      </c>
      <c r="B21" s="17">
        <f ca="1">IFERROR(__xludf.DUMMYFUNCTION("""COMPUTED_VALUE"""),1)</f>
        <v>1</v>
      </c>
      <c r="C21" s="19" t="str">
        <f ca="1">IFERROR(__xludf.DUMMYFUNCTION("""COMPUTED_VALUE"""),"Programming part 1 - Sequence")</f>
        <v>Programming part 1 - Sequence</v>
      </c>
      <c r="D21" s="17">
        <f ca="1">IFERROR(__xludf.DUMMYFUNCTION("""COMPUTED_VALUE"""),4)</f>
        <v>4</v>
      </c>
      <c r="E21" s="20" t="str">
        <f ca="1">IFERROR(__xludf.DUMMYFUNCTION("""COMPUTED_VALUE"""),"Obtain input from the keyboard in a program")</f>
        <v>Obtain input from the keyboard in a program</v>
      </c>
      <c r="F21" s="26" t="b">
        <f ca="1">IFERROR(__xludf.DUMMYFUNCTION("""COMPUTED_VALUE"""),TRUE)</f>
        <v>1</v>
      </c>
      <c r="G21" s="26" t="b">
        <f ca="1">IFERROR(__xludf.DUMMYFUNCTION("""COMPUTED_VALUE"""),TRUE)</f>
        <v>1</v>
      </c>
      <c r="H21" s="27"/>
      <c r="I21" s="26"/>
      <c r="J21" s="26"/>
      <c r="K21" s="26"/>
      <c r="L21" s="26"/>
      <c r="M21" s="26"/>
      <c r="N21" s="26"/>
      <c r="O21" s="26"/>
      <c r="P21" s="26"/>
      <c r="Q21" s="26" t="b">
        <f ca="1">IFERROR(__xludf.DUMMYFUNCTION("""COMPUTED_VALUE"""),TRUE)</f>
        <v>1</v>
      </c>
      <c r="R21" s="27"/>
      <c r="S21" s="28" t="s">
        <v>66</v>
      </c>
      <c r="T21" s="28" t="s">
        <v>25</v>
      </c>
      <c r="U21" s="28" t="s">
        <v>67</v>
      </c>
      <c r="V21" s="29" t="s">
        <v>69</v>
      </c>
      <c r="W21" s="28"/>
    </row>
    <row r="22" spans="1:23" ht="21">
      <c r="A22" s="15" t="str">
        <f ca="1">IFERROR(__xludf.DUMMYFUNCTION("""COMPUTED_VALUE"""),"GCSE")</f>
        <v>GCSE</v>
      </c>
      <c r="B22" s="17">
        <f ca="1">IFERROR(__xludf.DUMMYFUNCTION("""COMPUTED_VALUE"""),1)</f>
        <v>1</v>
      </c>
      <c r="C22" s="19" t="str">
        <f ca="1">IFERROR(__xludf.DUMMYFUNCTION("""COMPUTED_VALUE"""),"Programming part 1 - Sequence")</f>
        <v>Programming part 1 - Sequence</v>
      </c>
      <c r="D22" s="17">
        <f ca="1">IFERROR(__xludf.DUMMYFUNCTION("""COMPUTED_VALUE"""),5)</f>
        <v>5</v>
      </c>
      <c r="E22" s="20" t="str">
        <f ca="1">IFERROR(__xludf.DUMMYFUNCTION("""COMPUTED_VALUE"""),"Design a flowchart for a program")</f>
        <v>Design a flowchart for a program</v>
      </c>
      <c r="F22" s="26" t="b">
        <f ca="1">IFERROR(__xludf.DUMMYFUNCTION("""COMPUTED_VALUE"""),TRUE)</f>
        <v>1</v>
      </c>
      <c r="G22" s="26" t="b">
        <f ca="1">IFERROR(__xludf.DUMMYFUNCTION("""COMPUTED_VALUE"""),TRUE)</f>
        <v>1</v>
      </c>
      <c r="H22" s="27"/>
      <c r="I22" s="26" t="b">
        <f ca="1">IFERROR(__xludf.DUMMYFUNCTION("""COMPUTED_VALUE"""),TRUE)</f>
        <v>1</v>
      </c>
      <c r="J22" s="26"/>
      <c r="K22" s="26"/>
      <c r="L22" s="26" t="b">
        <f ca="1">IFERROR(__xludf.DUMMYFUNCTION("""COMPUTED_VALUE"""),TRUE)</f>
        <v>1</v>
      </c>
      <c r="M22" s="26"/>
      <c r="N22" s="26"/>
      <c r="O22" s="26"/>
      <c r="P22" s="26"/>
      <c r="Q22" s="26" t="b">
        <f ca="1">IFERROR(__xludf.DUMMYFUNCTION("""COMPUTED_VALUE"""),TRUE)</f>
        <v>1</v>
      </c>
      <c r="R22" s="27"/>
      <c r="S22" s="28" t="s">
        <v>66</v>
      </c>
      <c r="T22" s="28" t="s">
        <v>25</v>
      </c>
      <c r="U22" s="28" t="s">
        <v>67</v>
      </c>
      <c r="V22" s="29" t="s">
        <v>69</v>
      </c>
      <c r="W22" s="28"/>
    </row>
    <row r="23" spans="1:23" ht="28">
      <c r="A23" s="15" t="str">
        <f ca="1">IFERROR(__xludf.DUMMYFUNCTION("""COMPUTED_VALUE"""),"GCSE")</f>
        <v>GCSE</v>
      </c>
      <c r="B23" s="17">
        <f ca="1">IFERROR(__xludf.DUMMYFUNCTION("""COMPUTED_VALUE"""),1)</f>
        <v>1</v>
      </c>
      <c r="C23" s="19" t="str">
        <f ca="1">IFERROR(__xludf.DUMMYFUNCTION("""COMPUTED_VALUE"""),"Programming part 1 - Sequence")</f>
        <v>Programming part 1 - Sequence</v>
      </c>
      <c r="D23" s="17">
        <f ca="1">IFERROR(__xludf.DUMMYFUNCTION("""COMPUTED_VALUE"""),5)</f>
        <v>5</v>
      </c>
      <c r="E23" s="20" t="str">
        <f ca="1">IFERROR(__xludf.DUMMYFUNCTION("""COMPUTED_VALUE"""),"Identify flowchart symbols and describe how to use them (start, end, input, output, subroutine)")</f>
        <v>Identify flowchart symbols and describe how to use them (start, end, input, output, subroutine)</v>
      </c>
      <c r="F23" s="26" t="b">
        <f ca="1">IFERROR(__xludf.DUMMYFUNCTION("""COMPUTED_VALUE"""),TRUE)</f>
        <v>1</v>
      </c>
      <c r="G23" s="26" t="b">
        <f ca="1">IFERROR(__xludf.DUMMYFUNCTION("""COMPUTED_VALUE"""),TRUE)</f>
        <v>1</v>
      </c>
      <c r="H23" s="27"/>
      <c r="I23" s="26" t="b">
        <f ca="1">IFERROR(__xludf.DUMMYFUNCTION("""COMPUTED_VALUE"""),TRUE)</f>
        <v>1</v>
      </c>
      <c r="J23" s="26"/>
      <c r="K23" s="26"/>
      <c r="L23" s="26"/>
      <c r="M23" s="26"/>
      <c r="N23" s="26"/>
      <c r="O23" s="26"/>
      <c r="P23" s="26"/>
      <c r="Q23" s="26" t="b">
        <f ca="1">IFERROR(__xludf.DUMMYFUNCTION("""COMPUTED_VALUE"""),TRUE)</f>
        <v>1</v>
      </c>
      <c r="R23" s="27"/>
      <c r="S23" s="28"/>
      <c r="T23" s="28" t="s">
        <v>25</v>
      </c>
      <c r="U23" s="28" t="s">
        <v>67</v>
      </c>
      <c r="V23" s="29"/>
      <c r="W23" s="28"/>
    </row>
    <row r="24" spans="1:23" ht="21">
      <c r="A24" s="15" t="str">
        <f ca="1">IFERROR(__xludf.DUMMYFUNCTION("""COMPUTED_VALUE"""),"GCSE")</f>
        <v>GCSE</v>
      </c>
      <c r="B24" s="17">
        <f ca="1">IFERROR(__xludf.DUMMYFUNCTION("""COMPUTED_VALUE"""),1)</f>
        <v>1</v>
      </c>
      <c r="C24" s="19" t="str">
        <f ca="1">IFERROR(__xludf.DUMMYFUNCTION("""COMPUTED_VALUE"""),"Programming part 1 - Sequence")</f>
        <v>Programming part 1 - Sequence</v>
      </c>
      <c r="D24" s="17">
        <f ca="1">IFERROR(__xludf.DUMMYFUNCTION("""COMPUTED_VALUE"""),5)</f>
        <v>5</v>
      </c>
      <c r="E24" s="20" t="str">
        <f ca="1">IFERROR(__xludf.DUMMYFUNCTION("""COMPUTED_VALUE"""),"Translate a flowchart into a program sequence")</f>
        <v>Translate a flowchart into a program sequence</v>
      </c>
      <c r="F24" s="26" t="b">
        <f ca="1">IFERROR(__xludf.DUMMYFUNCTION("""COMPUTED_VALUE"""),TRUE)</f>
        <v>1</v>
      </c>
      <c r="G24" s="26" t="b">
        <f ca="1">IFERROR(__xludf.DUMMYFUNCTION("""COMPUTED_VALUE"""),TRUE)</f>
        <v>1</v>
      </c>
      <c r="H24" s="27"/>
      <c r="I24" s="26" t="b">
        <f ca="1">IFERROR(__xludf.DUMMYFUNCTION("""COMPUTED_VALUE"""),TRUE)</f>
        <v>1</v>
      </c>
      <c r="J24" s="26"/>
      <c r="K24" s="26"/>
      <c r="L24" s="26"/>
      <c r="M24" s="26"/>
      <c r="N24" s="26"/>
      <c r="O24" s="26"/>
      <c r="P24" s="26"/>
      <c r="Q24" s="26" t="b">
        <f ca="1">IFERROR(__xludf.DUMMYFUNCTION("""COMPUTED_VALUE"""),TRUE)</f>
        <v>1</v>
      </c>
      <c r="R24" s="27"/>
      <c r="S24" s="28"/>
      <c r="T24" s="28" t="s">
        <v>25</v>
      </c>
      <c r="U24" s="28" t="s">
        <v>67</v>
      </c>
      <c r="V24" s="29"/>
      <c r="W24" s="28"/>
    </row>
    <row r="25" spans="1:23" ht="21">
      <c r="A25" s="15" t="str">
        <f ca="1">IFERROR(__xludf.DUMMYFUNCTION("""COMPUTED_VALUE"""),"GCSE")</f>
        <v>GCSE</v>
      </c>
      <c r="B25" s="17">
        <f ca="1">IFERROR(__xludf.DUMMYFUNCTION("""COMPUTED_VALUE"""),2)</f>
        <v>2</v>
      </c>
      <c r="C25" s="19" t="str">
        <f ca="1">IFERROR(__xludf.DUMMYFUNCTION("""COMPUTED_VALUE"""),"Computer systems")</f>
        <v>Computer systems</v>
      </c>
      <c r="D25" s="17">
        <f ca="1">IFERROR(__xludf.DUMMYFUNCTION("""COMPUTED_VALUE"""),1)</f>
        <v>1</v>
      </c>
      <c r="E25" s="20" t="str">
        <f ca="1">IFERROR(__xludf.DUMMYFUNCTION("""COMPUTED_VALUE"""),"Describe the role of system software as part of a computer system")</f>
        <v>Describe the role of system software as part of a computer system</v>
      </c>
      <c r="F25" s="26" t="b">
        <f ca="1">IFERROR(__xludf.DUMMYFUNCTION("""COMPUTED_VALUE"""),TRUE)</f>
        <v>1</v>
      </c>
      <c r="G25" s="26" t="b">
        <f ca="1">IFERROR(__xludf.DUMMYFUNCTION("""COMPUTED_VALUE"""),TRUE)</f>
        <v>1</v>
      </c>
      <c r="H25" s="27" t="b">
        <f ca="1">IFERROR(__xludf.DUMMYFUNCTION("""COMPUTED_VALUE"""),TRUE)</f>
        <v>1</v>
      </c>
      <c r="I25" s="26"/>
      <c r="J25" s="26"/>
      <c r="K25" s="26" t="b">
        <f ca="1">IFERROR(__xludf.DUMMYFUNCTION("""COMPUTED_VALUE"""),TRUE)</f>
        <v>1</v>
      </c>
      <c r="L25" s="26"/>
      <c r="M25" s="26"/>
      <c r="N25" s="26"/>
      <c r="O25" s="26"/>
      <c r="P25" s="26"/>
      <c r="Q25" s="26"/>
      <c r="R25" s="27"/>
      <c r="S25" s="28"/>
      <c r="T25" s="28" t="s">
        <v>25</v>
      </c>
      <c r="U25" s="28" t="s">
        <v>67</v>
      </c>
      <c r="V25" s="29"/>
      <c r="W25" s="28"/>
    </row>
    <row r="26" spans="1:23" ht="21">
      <c r="A26" s="15" t="str">
        <f ca="1">IFERROR(__xludf.DUMMYFUNCTION("""COMPUTED_VALUE"""),"GCSE")</f>
        <v>GCSE</v>
      </c>
      <c r="B26" s="17">
        <f ca="1">IFERROR(__xludf.DUMMYFUNCTION("""COMPUTED_VALUE"""),2)</f>
        <v>2</v>
      </c>
      <c r="C26" s="19" t="str">
        <f ca="1">IFERROR(__xludf.DUMMYFUNCTION("""COMPUTED_VALUE"""),"Computer systems")</f>
        <v>Computer systems</v>
      </c>
      <c r="D26" s="17">
        <f ca="1">IFERROR(__xludf.DUMMYFUNCTION("""COMPUTED_VALUE"""),1)</f>
        <v>1</v>
      </c>
      <c r="E26" s="20" t="str">
        <f ca="1">IFERROR(__xludf.DUMMYFUNCTION("""COMPUTED_VALUE"""),"Explore the role of the operating system and utility software")</f>
        <v>Explore the role of the operating system and utility software</v>
      </c>
      <c r="F26" s="26" t="b">
        <f ca="1">IFERROR(__xludf.DUMMYFUNCTION("""COMPUTED_VALUE"""),TRUE)</f>
        <v>1</v>
      </c>
      <c r="G26" s="26" t="b">
        <f ca="1">IFERROR(__xludf.DUMMYFUNCTION("""COMPUTED_VALUE"""),TRUE)</f>
        <v>1</v>
      </c>
      <c r="H26" s="27" t="b">
        <f ca="1">IFERROR(__xludf.DUMMYFUNCTION("""COMPUTED_VALUE"""),TRUE)</f>
        <v>1</v>
      </c>
      <c r="I26" s="26"/>
      <c r="J26" s="26"/>
      <c r="K26" s="26" t="b">
        <f ca="1">IFERROR(__xludf.DUMMYFUNCTION("""COMPUTED_VALUE"""),TRUE)</f>
        <v>1</v>
      </c>
      <c r="L26" s="26"/>
      <c r="M26" s="26"/>
      <c r="N26" s="26"/>
      <c r="O26" s="26"/>
      <c r="P26" s="26"/>
      <c r="Q26" s="26"/>
      <c r="R26" s="27"/>
      <c r="S26" s="28" t="s">
        <v>66</v>
      </c>
      <c r="T26" s="28" t="s">
        <v>25</v>
      </c>
      <c r="U26" s="28" t="s">
        <v>67</v>
      </c>
      <c r="V26" s="29" t="s">
        <v>69</v>
      </c>
      <c r="W26" s="28"/>
    </row>
    <row r="27" spans="1:23" ht="21">
      <c r="A27" s="15" t="str">
        <f ca="1">IFERROR(__xludf.DUMMYFUNCTION("""COMPUTED_VALUE"""),"GCSE")</f>
        <v>GCSE</v>
      </c>
      <c r="B27" s="17">
        <f ca="1">IFERROR(__xludf.DUMMYFUNCTION("""COMPUTED_VALUE"""),2)</f>
        <v>2</v>
      </c>
      <c r="C27" s="19" t="str">
        <f ca="1">IFERROR(__xludf.DUMMYFUNCTION("""COMPUTED_VALUE"""),"Computer systems")</f>
        <v>Computer systems</v>
      </c>
      <c r="D27" s="17">
        <f ca="1">IFERROR(__xludf.DUMMYFUNCTION("""COMPUTED_VALUE"""),1)</f>
        <v>1</v>
      </c>
      <c r="E27" s="20" t="str">
        <f ca="1">IFERROR(__xludf.DUMMYFUNCTION("""COMPUTED_VALUE"""),"Understand the difference between embedded and general purpose computer systems")</f>
        <v>Understand the difference between embedded and general purpose computer systems</v>
      </c>
      <c r="F27" s="26" t="b">
        <f ca="1">IFERROR(__xludf.DUMMYFUNCTION("""COMPUTED_VALUE"""),TRUE)</f>
        <v>1</v>
      </c>
      <c r="G27" s="26" t="b">
        <f ca="1">IFERROR(__xludf.DUMMYFUNCTION("""COMPUTED_VALUE"""),TRUE)</f>
        <v>1</v>
      </c>
      <c r="H27" s="27" t="b">
        <f ca="1">IFERROR(__xludf.DUMMYFUNCTION("""COMPUTED_VALUE"""),TRUE)</f>
        <v>1</v>
      </c>
      <c r="I27" s="26"/>
      <c r="J27" s="26"/>
      <c r="K27" s="26" t="b">
        <f ca="1">IFERROR(__xludf.DUMMYFUNCTION("""COMPUTED_VALUE"""),TRUE)</f>
        <v>1</v>
      </c>
      <c r="L27" s="26"/>
      <c r="M27" s="26"/>
      <c r="N27" s="26"/>
      <c r="O27" s="26"/>
      <c r="P27" s="26"/>
      <c r="Q27" s="26"/>
      <c r="R27" s="27"/>
      <c r="S27" s="28" t="s">
        <v>66</v>
      </c>
      <c r="T27" s="28" t="s">
        <v>25</v>
      </c>
      <c r="U27" s="28" t="s">
        <v>67</v>
      </c>
      <c r="V27" s="29" t="s">
        <v>69</v>
      </c>
      <c r="W27" s="28"/>
    </row>
    <row r="28" spans="1:23" ht="21">
      <c r="A28" s="15" t="str">
        <f ca="1">IFERROR(__xludf.DUMMYFUNCTION("""COMPUTED_VALUE"""),"GCSE")</f>
        <v>GCSE</v>
      </c>
      <c r="B28" s="17">
        <f ca="1">IFERROR(__xludf.DUMMYFUNCTION("""COMPUTED_VALUE"""),2)</f>
        <v>2</v>
      </c>
      <c r="C28" s="19" t="str">
        <f ca="1">IFERROR(__xludf.DUMMYFUNCTION("""COMPUTED_VALUE"""),"Computer systems")</f>
        <v>Computer systems</v>
      </c>
      <c r="D28" s="17">
        <f ca="1">IFERROR(__xludf.DUMMYFUNCTION("""COMPUTED_VALUE"""),2)</f>
        <v>2</v>
      </c>
      <c r="E28" s="20" t="str">
        <f ca="1">IFERROR(__xludf.DUMMYFUNCTION("""COMPUTED_VALUE"""),"Describe the basic components of the CPU")</f>
        <v>Describe the basic components of the CPU</v>
      </c>
      <c r="F28" s="26" t="b">
        <f ca="1">IFERROR(__xludf.DUMMYFUNCTION("""COMPUTED_VALUE"""),TRUE)</f>
        <v>1</v>
      </c>
      <c r="G28" s="26" t="b">
        <f ca="1">IFERROR(__xludf.DUMMYFUNCTION("""COMPUTED_VALUE"""),TRUE)</f>
        <v>1</v>
      </c>
      <c r="H28" s="27" t="b">
        <f ca="1">IFERROR(__xludf.DUMMYFUNCTION("""COMPUTED_VALUE"""),TRUE)</f>
        <v>1</v>
      </c>
      <c r="I28" s="26"/>
      <c r="J28" s="26"/>
      <c r="K28" s="26" t="b">
        <f ca="1">IFERROR(__xludf.DUMMYFUNCTION("""COMPUTED_VALUE"""),TRUE)</f>
        <v>1</v>
      </c>
      <c r="L28" s="26"/>
      <c r="M28" s="26"/>
      <c r="N28" s="26"/>
      <c r="O28" s="26"/>
      <c r="P28" s="26"/>
      <c r="Q28" s="26"/>
      <c r="R28" s="27"/>
      <c r="S28" s="28" t="s">
        <v>66</v>
      </c>
      <c r="T28" s="28" t="s">
        <v>25</v>
      </c>
      <c r="U28" s="28" t="s">
        <v>67</v>
      </c>
      <c r="V28" s="29" t="s">
        <v>69</v>
      </c>
      <c r="W28" s="28"/>
    </row>
    <row r="29" spans="1:23" ht="21">
      <c r="A29" s="15" t="str">
        <f ca="1">IFERROR(__xludf.DUMMYFUNCTION("""COMPUTED_VALUE"""),"GCSE")</f>
        <v>GCSE</v>
      </c>
      <c r="B29" s="17">
        <f ca="1">IFERROR(__xludf.DUMMYFUNCTION("""COMPUTED_VALUE"""),2)</f>
        <v>2</v>
      </c>
      <c r="C29" s="19" t="str">
        <f ca="1">IFERROR(__xludf.DUMMYFUNCTION("""COMPUTED_VALUE"""),"Computer systems")</f>
        <v>Computer systems</v>
      </c>
      <c r="D29" s="17">
        <f ca="1">IFERROR(__xludf.DUMMYFUNCTION("""COMPUTED_VALUE"""),2)</f>
        <v>2</v>
      </c>
      <c r="E29" s="20" t="str">
        <f ca="1">IFERROR(__xludf.DUMMYFUNCTION("""COMPUTED_VALUE"""),"Understand the roles and purpose of each component of the CPU in computation")</f>
        <v>Understand the roles and purpose of each component of the CPU in computation</v>
      </c>
      <c r="F29" s="26" t="b">
        <f ca="1">IFERROR(__xludf.DUMMYFUNCTION("""COMPUTED_VALUE"""),TRUE)</f>
        <v>1</v>
      </c>
      <c r="G29" s="26" t="b">
        <f ca="1">IFERROR(__xludf.DUMMYFUNCTION("""COMPUTED_VALUE"""),TRUE)</f>
        <v>1</v>
      </c>
      <c r="H29" s="27" t="b">
        <f ca="1">IFERROR(__xludf.DUMMYFUNCTION("""COMPUTED_VALUE"""),TRUE)</f>
        <v>1</v>
      </c>
      <c r="I29" s="26"/>
      <c r="J29" s="26"/>
      <c r="K29" s="26" t="b">
        <f ca="1">IFERROR(__xludf.DUMMYFUNCTION("""COMPUTED_VALUE"""),TRUE)</f>
        <v>1</v>
      </c>
      <c r="L29" s="26"/>
      <c r="M29" s="26"/>
      <c r="N29" s="26"/>
      <c r="O29" s="26"/>
      <c r="P29" s="26"/>
      <c r="Q29" s="26"/>
      <c r="R29" s="27"/>
      <c r="S29" s="28" t="s">
        <v>66</v>
      </c>
      <c r="T29" s="28" t="s">
        <v>25</v>
      </c>
      <c r="U29" s="28" t="s">
        <v>67</v>
      </c>
      <c r="V29" s="29" t="s">
        <v>69</v>
      </c>
      <c r="W29" s="28"/>
    </row>
    <row r="30" spans="1:23" ht="21">
      <c r="A30" s="15" t="str">
        <f ca="1">IFERROR(__xludf.DUMMYFUNCTION("""COMPUTED_VALUE"""),"GCSE")</f>
        <v>GCSE</v>
      </c>
      <c r="B30" s="17">
        <f ca="1">IFERROR(__xludf.DUMMYFUNCTION("""COMPUTED_VALUE"""),2)</f>
        <v>2</v>
      </c>
      <c r="C30" s="19" t="str">
        <f ca="1">IFERROR(__xludf.DUMMYFUNCTION("""COMPUTED_VALUE"""),"Computer systems")</f>
        <v>Computer systems</v>
      </c>
      <c r="D30" s="17">
        <f ca="1">IFERROR(__xludf.DUMMYFUNCTION("""COMPUTED_VALUE"""),3)</f>
        <v>3</v>
      </c>
      <c r="E30" s="20" t="str">
        <f ca="1">IFERROR(__xludf.DUMMYFUNCTION("""COMPUTED_VALUE"""),"Describe the role of each part of the CPU as part of the fetch-decode-execute cycle")</f>
        <v>Describe the role of each part of the CPU as part of the fetch-decode-execute cycle</v>
      </c>
      <c r="F30" s="26" t="b">
        <f ca="1">IFERROR(__xludf.DUMMYFUNCTION("""COMPUTED_VALUE"""),TRUE)</f>
        <v>1</v>
      </c>
      <c r="G30" s="26" t="b">
        <f ca="1">IFERROR(__xludf.DUMMYFUNCTION("""COMPUTED_VALUE"""),TRUE)</f>
        <v>1</v>
      </c>
      <c r="H30" s="27" t="b">
        <f ca="1">IFERROR(__xludf.DUMMYFUNCTION("""COMPUTED_VALUE"""),TRUE)</f>
        <v>1</v>
      </c>
      <c r="I30" s="26"/>
      <c r="J30" s="26"/>
      <c r="K30" s="26" t="b">
        <f ca="1">IFERROR(__xludf.DUMMYFUNCTION("""COMPUTED_VALUE"""),TRUE)</f>
        <v>1</v>
      </c>
      <c r="L30" s="26"/>
      <c r="M30" s="26"/>
      <c r="N30" s="26"/>
      <c r="O30" s="26"/>
      <c r="P30" s="26"/>
      <c r="Q30" s="26"/>
      <c r="R30" s="27"/>
      <c r="S30" s="28" t="s">
        <v>66</v>
      </c>
      <c r="T30" s="28" t="s">
        <v>25</v>
      </c>
      <c r="U30" s="28" t="s">
        <v>67</v>
      </c>
      <c r="V30" s="29" t="s">
        <v>69</v>
      </c>
      <c r="W30" s="28"/>
    </row>
    <row r="31" spans="1:23" ht="28">
      <c r="A31" s="15" t="str">
        <f ca="1">IFERROR(__xludf.DUMMYFUNCTION("""COMPUTED_VALUE"""),"GCSE")</f>
        <v>GCSE</v>
      </c>
      <c r="B31" s="17">
        <f ca="1">IFERROR(__xludf.DUMMYFUNCTION("""COMPUTED_VALUE"""),2)</f>
        <v>2</v>
      </c>
      <c r="C31" s="19" t="str">
        <f ca="1">IFERROR(__xludf.DUMMYFUNCTION("""COMPUTED_VALUE"""),"Computer systems")</f>
        <v>Computer systems</v>
      </c>
      <c r="D31" s="17">
        <f ca="1">IFERROR(__xludf.DUMMYFUNCTION("""COMPUTED_VALUE"""),3)</f>
        <v>3</v>
      </c>
      <c r="E31" s="20" t="str">
        <f ca="1">IFERROR(__xludf.DUMMYFUNCTION("""COMPUTED_VALUE"""),"Explain how the fetch-decode-execute cycle works by describing what happens at each stage")</f>
        <v>Explain how the fetch-decode-execute cycle works by describing what happens at each stage</v>
      </c>
      <c r="F31" s="26" t="b">
        <f ca="1">IFERROR(__xludf.DUMMYFUNCTION("""COMPUTED_VALUE"""),TRUE)</f>
        <v>1</v>
      </c>
      <c r="G31" s="26" t="b">
        <f ca="1">IFERROR(__xludf.DUMMYFUNCTION("""COMPUTED_VALUE"""),TRUE)</f>
        <v>1</v>
      </c>
      <c r="H31" s="27" t="b">
        <f ca="1">IFERROR(__xludf.DUMMYFUNCTION("""COMPUTED_VALUE"""),TRUE)</f>
        <v>1</v>
      </c>
      <c r="I31" s="26"/>
      <c r="J31" s="26"/>
      <c r="K31" s="26" t="b">
        <f ca="1">IFERROR(__xludf.DUMMYFUNCTION("""COMPUTED_VALUE"""),TRUE)</f>
        <v>1</v>
      </c>
      <c r="L31" s="26"/>
      <c r="M31" s="26"/>
      <c r="N31" s="26"/>
      <c r="O31" s="26"/>
      <c r="P31" s="26"/>
      <c r="Q31" s="26"/>
      <c r="R31" s="27"/>
      <c r="S31" s="28" t="s">
        <v>66</v>
      </c>
      <c r="T31" s="28" t="s">
        <v>25</v>
      </c>
      <c r="U31" s="28" t="s">
        <v>67</v>
      </c>
      <c r="V31" s="29" t="s">
        <v>69</v>
      </c>
      <c r="W31" s="28"/>
    </row>
    <row r="32" spans="1:23" ht="21">
      <c r="A32" s="17" t="str">
        <f ca="1">IFERROR(__xludf.DUMMYFUNCTION("""COMPUTED_VALUE"""),"GCSE")</f>
        <v>GCSE</v>
      </c>
      <c r="B32" s="17">
        <f ca="1">IFERROR(__xludf.DUMMYFUNCTION("""COMPUTED_VALUE"""),2)</f>
        <v>2</v>
      </c>
      <c r="C32" s="19" t="str">
        <f ca="1">IFERROR(__xludf.DUMMYFUNCTION("""COMPUTED_VALUE"""),"Computer systems")</f>
        <v>Computer systems</v>
      </c>
      <c r="D32" s="17">
        <f ca="1">IFERROR(__xludf.DUMMYFUNCTION("""COMPUTED_VALUE"""),4)</f>
        <v>4</v>
      </c>
      <c r="E32" s="19" t="str">
        <f ca="1">IFERROR(__xludf.DUMMYFUNCTION("""COMPUTED_VALUE"""),"Define cache memory")</f>
        <v>Define cache memory</v>
      </c>
      <c r="F32" s="30" t="b">
        <f ca="1">IFERROR(__xludf.DUMMYFUNCTION("""COMPUTED_VALUE"""),TRUE)</f>
        <v>1</v>
      </c>
      <c r="G32" s="26" t="b">
        <f ca="1">IFERROR(__xludf.DUMMYFUNCTION("""COMPUTED_VALUE"""),TRUE)</f>
        <v>1</v>
      </c>
      <c r="H32" s="27" t="b">
        <f ca="1">IFERROR(__xludf.DUMMYFUNCTION("""COMPUTED_VALUE"""),TRUE)</f>
        <v>1</v>
      </c>
      <c r="I32" s="30"/>
      <c r="J32" s="26"/>
      <c r="K32" s="26" t="b">
        <f ca="1">IFERROR(__xludf.DUMMYFUNCTION("""COMPUTED_VALUE"""),TRUE)</f>
        <v>1</v>
      </c>
      <c r="L32" s="26"/>
      <c r="M32" s="26"/>
      <c r="N32" s="26"/>
      <c r="O32" s="26"/>
      <c r="P32" s="26"/>
      <c r="Q32" s="26"/>
      <c r="R32" s="27"/>
      <c r="S32" s="28" t="s">
        <v>66</v>
      </c>
      <c r="T32" s="28" t="s">
        <v>25</v>
      </c>
      <c r="U32" s="28"/>
      <c r="V32" s="29" t="s">
        <v>69</v>
      </c>
      <c r="W32" s="67"/>
    </row>
    <row r="33" spans="1:23" ht="21">
      <c r="A33" s="17" t="str">
        <f ca="1">IFERROR(__xludf.DUMMYFUNCTION("""COMPUTED_VALUE"""),"GCSE")</f>
        <v>GCSE</v>
      </c>
      <c r="B33" s="17">
        <f ca="1">IFERROR(__xludf.DUMMYFUNCTION("""COMPUTED_VALUE"""),2)</f>
        <v>2</v>
      </c>
      <c r="C33" s="19" t="str">
        <f ca="1">IFERROR(__xludf.DUMMYFUNCTION("""COMPUTED_VALUE"""),"Computer systems")</f>
        <v>Computer systems</v>
      </c>
      <c r="D33" s="17">
        <f ca="1">IFERROR(__xludf.DUMMYFUNCTION("""COMPUTED_VALUE"""),4)</f>
        <v>4</v>
      </c>
      <c r="E33" s="19" t="str">
        <f ca="1">IFERROR(__xludf.DUMMYFUNCTION("""COMPUTED_VALUE"""),"Describe the characteristics of RAM and ROM")</f>
        <v>Describe the characteristics of RAM and ROM</v>
      </c>
      <c r="F33" s="30" t="b">
        <f ca="1">IFERROR(__xludf.DUMMYFUNCTION("""COMPUTED_VALUE"""),TRUE)</f>
        <v>1</v>
      </c>
      <c r="G33" s="26" t="b">
        <f ca="1">IFERROR(__xludf.DUMMYFUNCTION("""COMPUTED_VALUE"""),TRUE)</f>
        <v>1</v>
      </c>
      <c r="H33" s="27" t="b">
        <f ca="1">IFERROR(__xludf.DUMMYFUNCTION("""COMPUTED_VALUE"""),TRUE)</f>
        <v>1</v>
      </c>
      <c r="I33" s="30"/>
      <c r="J33" s="26"/>
      <c r="K33" s="26" t="b">
        <f ca="1">IFERROR(__xludf.DUMMYFUNCTION("""COMPUTED_VALUE"""),TRUE)</f>
        <v>1</v>
      </c>
      <c r="L33" s="26"/>
      <c r="M33" s="26"/>
      <c r="N33" s="26"/>
      <c r="O33" s="26"/>
      <c r="P33" s="26"/>
      <c r="Q33" s="26"/>
      <c r="R33" s="27"/>
      <c r="S33" s="28" t="s">
        <v>28</v>
      </c>
      <c r="T33" s="28" t="s">
        <v>25</v>
      </c>
      <c r="U33" s="28"/>
      <c r="V33" s="29" t="s">
        <v>69</v>
      </c>
      <c r="W33" s="67"/>
    </row>
    <row r="34" spans="1:23" ht="21">
      <c r="A34" s="17" t="str">
        <f ca="1">IFERROR(__xludf.DUMMYFUNCTION("""COMPUTED_VALUE"""),"GCSE")</f>
        <v>GCSE</v>
      </c>
      <c r="B34" s="17">
        <f ca="1">IFERROR(__xludf.DUMMYFUNCTION("""COMPUTED_VALUE"""),2)</f>
        <v>2</v>
      </c>
      <c r="C34" s="19" t="str">
        <f ca="1">IFERROR(__xludf.DUMMYFUNCTION("""COMPUTED_VALUE"""),"Computer systems")</f>
        <v>Computer systems</v>
      </c>
      <c r="D34" s="17">
        <f ca="1">IFERROR(__xludf.DUMMYFUNCTION("""COMPUTED_VALUE"""),4)</f>
        <v>4</v>
      </c>
      <c r="E34" s="19" t="str">
        <f ca="1">IFERROR(__xludf.DUMMYFUNCTION("""COMPUTED_VALUE"""),"Describe the role of cache in a computer system")</f>
        <v>Describe the role of cache in a computer system</v>
      </c>
      <c r="F34" s="30" t="b">
        <f ca="1">IFERROR(__xludf.DUMMYFUNCTION("""COMPUTED_VALUE"""),TRUE)</f>
        <v>1</v>
      </c>
      <c r="G34" s="26" t="b">
        <f ca="1">IFERROR(__xludf.DUMMYFUNCTION("""COMPUTED_VALUE"""),TRUE)</f>
        <v>1</v>
      </c>
      <c r="H34" s="27" t="b">
        <f ca="1">IFERROR(__xludf.DUMMYFUNCTION("""COMPUTED_VALUE"""),TRUE)</f>
        <v>1</v>
      </c>
      <c r="I34" s="30"/>
      <c r="J34" s="26"/>
      <c r="K34" s="26" t="b">
        <f ca="1">IFERROR(__xludf.DUMMYFUNCTION("""COMPUTED_VALUE"""),TRUE)</f>
        <v>1</v>
      </c>
      <c r="L34" s="26"/>
      <c r="M34" s="26"/>
      <c r="N34" s="26"/>
      <c r="O34" s="26"/>
      <c r="P34" s="26"/>
      <c r="Q34" s="26"/>
      <c r="R34" s="27"/>
      <c r="S34" s="28"/>
      <c r="T34" s="28" t="s">
        <v>25</v>
      </c>
      <c r="U34" s="28" t="s">
        <v>67</v>
      </c>
      <c r="V34" s="29" t="s">
        <v>69</v>
      </c>
      <c r="W34" s="67"/>
    </row>
    <row r="35" spans="1:23" ht="21">
      <c r="A35" s="17" t="str">
        <f ca="1">IFERROR(__xludf.DUMMYFUNCTION("""COMPUTED_VALUE"""),"GCSE")</f>
        <v>GCSE</v>
      </c>
      <c r="B35" s="17">
        <f ca="1">IFERROR(__xludf.DUMMYFUNCTION("""COMPUTED_VALUE"""),2)</f>
        <v>2</v>
      </c>
      <c r="C35" s="19" t="str">
        <f ca="1">IFERROR(__xludf.DUMMYFUNCTION("""COMPUTED_VALUE"""),"Computer systems")</f>
        <v>Computer systems</v>
      </c>
      <c r="D35" s="17">
        <f ca="1">IFERROR(__xludf.DUMMYFUNCTION("""COMPUTED_VALUE"""),4)</f>
        <v>4</v>
      </c>
      <c r="E35" s="19" t="str">
        <f ca="1">IFERROR(__xludf.DUMMYFUNCTION("""COMPUTED_VALUE"""),"Explain the role of main memory as part of a computer system")</f>
        <v>Explain the role of main memory as part of a computer system</v>
      </c>
      <c r="F35" s="30" t="b">
        <f ca="1">IFERROR(__xludf.DUMMYFUNCTION("""COMPUTED_VALUE"""),TRUE)</f>
        <v>1</v>
      </c>
      <c r="G35" s="26" t="b">
        <f ca="1">IFERROR(__xludf.DUMMYFUNCTION("""COMPUTED_VALUE"""),TRUE)</f>
        <v>1</v>
      </c>
      <c r="H35" s="27" t="b">
        <f ca="1">IFERROR(__xludf.DUMMYFUNCTION("""COMPUTED_VALUE"""),TRUE)</f>
        <v>1</v>
      </c>
      <c r="I35" s="30"/>
      <c r="J35" s="26"/>
      <c r="K35" s="26" t="b">
        <f ca="1">IFERROR(__xludf.DUMMYFUNCTION("""COMPUTED_VALUE"""),TRUE)</f>
        <v>1</v>
      </c>
      <c r="L35" s="26"/>
      <c r="M35" s="26"/>
      <c r="N35" s="26"/>
      <c r="O35" s="26"/>
      <c r="P35" s="26"/>
      <c r="Q35" s="26"/>
      <c r="R35" s="27"/>
      <c r="S35" s="28" t="s">
        <v>66</v>
      </c>
      <c r="T35" s="28" t="s">
        <v>25</v>
      </c>
      <c r="U35" s="28" t="s">
        <v>67</v>
      </c>
      <c r="V35" s="29" t="s">
        <v>69</v>
      </c>
      <c r="W35" s="67"/>
    </row>
    <row r="36" spans="1:23" ht="21">
      <c r="A36" s="17" t="str">
        <f ca="1">IFERROR(__xludf.DUMMYFUNCTION("""COMPUTED_VALUE"""),"GCSE")</f>
        <v>GCSE</v>
      </c>
      <c r="B36" s="17">
        <f ca="1">IFERROR(__xludf.DUMMYFUNCTION("""COMPUTED_VALUE"""),2)</f>
        <v>2</v>
      </c>
      <c r="C36" s="19" t="str">
        <f ca="1">IFERROR(__xludf.DUMMYFUNCTION("""COMPUTED_VALUE"""),"Computer systems")</f>
        <v>Computer systems</v>
      </c>
      <c r="D36" s="17">
        <f ca="1">IFERROR(__xludf.DUMMYFUNCTION("""COMPUTED_VALUE"""),5)</f>
        <v>5</v>
      </c>
      <c r="E36" s="19" t="str">
        <f ca="1">IFERROR(__xludf.DUMMYFUNCTION("""COMPUTED_VALUE"""),"Explain why a computer system needs secondary storage")</f>
        <v>Explain why a computer system needs secondary storage</v>
      </c>
      <c r="F36" s="30" t="b">
        <f ca="1">IFERROR(__xludf.DUMMYFUNCTION("""COMPUTED_VALUE"""),TRUE)</f>
        <v>1</v>
      </c>
      <c r="G36" s="26" t="b">
        <f ca="1">IFERROR(__xludf.DUMMYFUNCTION("""COMPUTED_VALUE"""),TRUE)</f>
        <v>1</v>
      </c>
      <c r="H36" s="27" t="b">
        <f ca="1">IFERROR(__xludf.DUMMYFUNCTION("""COMPUTED_VALUE"""),TRUE)</f>
        <v>1</v>
      </c>
      <c r="I36" s="30"/>
      <c r="J36" s="26"/>
      <c r="K36" s="26" t="b">
        <f ca="1">IFERROR(__xludf.DUMMYFUNCTION("""COMPUTED_VALUE"""),TRUE)</f>
        <v>1</v>
      </c>
      <c r="L36" s="26"/>
      <c r="M36" s="26"/>
      <c r="N36" s="26"/>
      <c r="O36" s="26"/>
      <c r="P36" s="26"/>
      <c r="Q36" s="26"/>
      <c r="R36" s="27"/>
      <c r="S36" s="28"/>
      <c r="T36" s="28"/>
      <c r="U36" s="28"/>
      <c r="V36" s="29"/>
      <c r="W36" s="67"/>
    </row>
    <row r="37" spans="1:23" ht="21">
      <c r="A37" s="17" t="str">
        <f ca="1">IFERROR(__xludf.DUMMYFUNCTION("""COMPUTED_VALUE"""),"GCSE")</f>
        <v>GCSE</v>
      </c>
      <c r="B37" s="17">
        <f ca="1">IFERROR(__xludf.DUMMYFUNCTION("""COMPUTED_VALUE"""),2)</f>
        <v>2</v>
      </c>
      <c r="C37" s="19" t="str">
        <f ca="1">IFERROR(__xludf.DUMMYFUNCTION("""COMPUTED_VALUE"""),"Computer systems")</f>
        <v>Computer systems</v>
      </c>
      <c r="D37" s="17">
        <f ca="1">IFERROR(__xludf.DUMMYFUNCTION("""COMPUTED_VALUE"""),5)</f>
        <v>5</v>
      </c>
      <c r="E37" s="19" t="str">
        <f ca="1">IFERROR(__xludf.DUMMYFUNCTION("""COMPUTED_VALUE"""),"State how solid-state memory works and describe its characteristics")</f>
        <v>State how solid-state memory works and describe its characteristics</v>
      </c>
      <c r="F37" s="30" t="b">
        <f ca="1">IFERROR(__xludf.DUMMYFUNCTION("""COMPUTED_VALUE"""),TRUE)</f>
        <v>1</v>
      </c>
      <c r="G37" s="26" t="b">
        <f ca="1">IFERROR(__xludf.DUMMYFUNCTION("""COMPUTED_VALUE"""),TRUE)</f>
        <v>1</v>
      </c>
      <c r="H37" s="27" t="b">
        <f ca="1">IFERROR(__xludf.DUMMYFUNCTION("""COMPUTED_VALUE"""),TRUE)</f>
        <v>1</v>
      </c>
      <c r="I37" s="30"/>
      <c r="J37" s="26"/>
      <c r="K37" s="26" t="b">
        <f ca="1">IFERROR(__xludf.DUMMYFUNCTION("""COMPUTED_VALUE"""),TRUE)</f>
        <v>1</v>
      </c>
      <c r="L37" s="26"/>
      <c r="M37" s="26"/>
      <c r="N37" s="26"/>
      <c r="O37" s="26"/>
      <c r="P37" s="26"/>
      <c r="Q37" s="26"/>
      <c r="R37" s="27"/>
      <c r="S37" s="31" t="s">
        <v>70</v>
      </c>
      <c r="T37" s="31" t="s">
        <v>71</v>
      </c>
      <c r="U37" s="31" t="s">
        <v>72</v>
      </c>
      <c r="V37" s="32" t="s">
        <v>73</v>
      </c>
      <c r="W37" s="67"/>
    </row>
    <row r="38" spans="1:23" ht="28">
      <c r="A38" s="17" t="str">
        <f ca="1">IFERROR(__xludf.DUMMYFUNCTION("""COMPUTED_VALUE"""),"GCSE")</f>
        <v>GCSE</v>
      </c>
      <c r="B38" s="17">
        <f ca="1">IFERROR(__xludf.DUMMYFUNCTION("""COMPUTED_VALUE"""),2)</f>
        <v>2</v>
      </c>
      <c r="C38" s="19" t="str">
        <f ca="1">IFERROR(__xludf.DUMMYFUNCTION("""COMPUTED_VALUE"""),"Computer systems")</f>
        <v>Computer systems</v>
      </c>
      <c r="D38" s="17">
        <f ca="1">IFERROR(__xludf.DUMMYFUNCTION("""COMPUTED_VALUE"""),5)</f>
        <v>5</v>
      </c>
      <c r="E38" s="19" t="str">
        <f ca="1">IFERROR(__xludf.DUMMYFUNCTION("""COMPUTED_VALUE"""),"State the different types of secondary storage and describe their functional characteristics")</f>
        <v>State the different types of secondary storage and describe their functional characteristics</v>
      </c>
      <c r="F38" s="30" t="b">
        <f ca="1">IFERROR(__xludf.DUMMYFUNCTION("""COMPUTED_VALUE"""),TRUE)</f>
        <v>1</v>
      </c>
      <c r="G38" s="26" t="b">
        <f ca="1">IFERROR(__xludf.DUMMYFUNCTION("""COMPUTED_VALUE"""),TRUE)</f>
        <v>1</v>
      </c>
      <c r="H38" s="27" t="b">
        <f ca="1">IFERROR(__xludf.DUMMYFUNCTION("""COMPUTED_VALUE"""),TRUE)</f>
        <v>1</v>
      </c>
      <c r="I38" s="30"/>
      <c r="J38" s="26"/>
      <c r="K38" s="26" t="b">
        <f ca="1">IFERROR(__xludf.DUMMYFUNCTION("""COMPUTED_VALUE"""),TRUE)</f>
        <v>1</v>
      </c>
      <c r="L38" s="26"/>
      <c r="M38" s="26"/>
      <c r="N38" s="26"/>
      <c r="O38" s="26"/>
      <c r="P38" s="26"/>
      <c r="Q38" s="26"/>
      <c r="R38" s="27"/>
      <c r="S38" s="28" t="s">
        <v>70</v>
      </c>
      <c r="T38" s="28" t="s">
        <v>74</v>
      </c>
      <c r="U38" s="28" t="s">
        <v>72</v>
      </c>
      <c r="V38" s="29" t="s">
        <v>75</v>
      </c>
      <c r="W38" s="67"/>
    </row>
    <row r="39" spans="1:23" ht="21">
      <c r="A39" s="17" t="str">
        <f ca="1">IFERROR(__xludf.DUMMYFUNCTION("""COMPUTED_VALUE"""),"GCSE")</f>
        <v>GCSE</v>
      </c>
      <c r="B39" s="17">
        <f ca="1">IFERROR(__xludf.DUMMYFUNCTION("""COMPUTED_VALUE"""),2)</f>
        <v>2</v>
      </c>
      <c r="C39" s="19" t="str">
        <f ca="1">IFERROR(__xludf.DUMMYFUNCTION("""COMPUTED_VALUE"""),"Computer systems")</f>
        <v>Computer systems</v>
      </c>
      <c r="D39" s="17">
        <f ca="1">IFERROR(__xludf.DUMMYFUNCTION("""COMPUTED_VALUE"""),6)</f>
        <v>6</v>
      </c>
      <c r="E39" s="19" t="str">
        <f ca="1">IFERROR(__xludf.DUMMYFUNCTION("""COMPUTED_VALUE"""),"Apply knowledge of storage devices to compare the three mediums of storage")</f>
        <v>Apply knowledge of storage devices to compare the three mediums of storage</v>
      </c>
      <c r="F39" s="30" t="b">
        <f ca="1">IFERROR(__xludf.DUMMYFUNCTION("""COMPUTED_VALUE"""),TRUE)</f>
        <v>1</v>
      </c>
      <c r="G39" s="26" t="b">
        <f ca="1">IFERROR(__xludf.DUMMYFUNCTION("""COMPUTED_VALUE"""),TRUE)</f>
        <v>1</v>
      </c>
      <c r="H39" s="27" t="b">
        <f ca="1">IFERROR(__xludf.DUMMYFUNCTION("""COMPUTED_VALUE"""),TRUE)</f>
        <v>1</v>
      </c>
      <c r="I39" s="30"/>
      <c r="J39" s="26"/>
      <c r="K39" s="26" t="b">
        <f ca="1">IFERROR(__xludf.DUMMYFUNCTION("""COMPUTED_VALUE"""),TRUE)</f>
        <v>1</v>
      </c>
      <c r="L39" s="26"/>
      <c r="M39" s="26"/>
      <c r="N39" s="26"/>
      <c r="O39" s="26"/>
      <c r="P39" s="26"/>
      <c r="Q39" s="26"/>
      <c r="R39" s="27"/>
      <c r="S39" s="28" t="s">
        <v>70</v>
      </c>
      <c r="T39" s="28" t="s">
        <v>71</v>
      </c>
      <c r="U39" s="28" t="s">
        <v>72</v>
      </c>
      <c r="V39" s="29" t="s">
        <v>76</v>
      </c>
      <c r="W39" s="67"/>
    </row>
    <row r="40" spans="1:23" ht="21">
      <c r="A40" s="17" t="str">
        <f ca="1">IFERROR(__xludf.DUMMYFUNCTION("""COMPUTED_VALUE"""),"GCSE")</f>
        <v>GCSE</v>
      </c>
      <c r="B40" s="17">
        <f ca="1">IFERROR(__xludf.DUMMYFUNCTION("""COMPUTED_VALUE"""),2)</f>
        <v>2</v>
      </c>
      <c r="C40" s="19" t="str">
        <f ca="1">IFERROR(__xludf.DUMMYFUNCTION("""COMPUTED_VALUE"""),"Computer systems")</f>
        <v>Computer systems</v>
      </c>
      <c r="D40" s="17">
        <f ca="1">IFERROR(__xludf.DUMMYFUNCTION("""COMPUTED_VALUE"""),6)</f>
        <v>6</v>
      </c>
      <c r="E40" s="19" t="str">
        <f ca="1">IFERROR(__xludf.DUMMYFUNCTION("""COMPUTED_VALUE"""),"Describe how data is read from and written to optical and magnetic memory")</f>
        <v>Describe how data is read from and written to optical and magnetic memory</v>
      </c>
      <c r="F40" s="30" t="b">
        <f ca="1">IFERROR(__xludf.DUMMYFUNCTION("""COMPUTED_VALUE"""),TRUE)</f>
        <v>1</v>
      </c>
      <c r="G40" s="26" t="b">
        <f ca="1">IFERROR(__xludf.DUMMYFUNCTION("""COMPUTED_VALUE"""),TRUE)</f>
        <v>1</v>
      </c>
      <c r="H40" s="27" t="b">
        <f ca="1">IFERROR(__xludf.DUMMYFUNCTION("""COMPUTED_VALUE"""),TRUE)</f>
        <v>1</v>
      </c>
      <c r="I40" s="30"/>
      <c r="J40" s="26"/>
      <c r="K40" s="26" t="b">
        <f ca="1">IFERROR(__xludf.DUMMYFUNCTION("""COMPUTED_VALUE"""),TRUE)</f>
        <v>1</v>
      </c>
      <c r="L40" s="26"/>
      <c r="M40" s="26"/>
      <c r="N40" s="26"/>
      <c r="O40" s="26"/>
      <c r="P40" s="26"/>
      <c r="Q40" s="26"/>
      <c r="R40" s="27"/>
      <c r="S40" s="28" t="s">
        <v>70</v>
      </c>
      <c r="T40" s="28" t="s">
        <v>71</v>
      </c>
      <c r="U40" s="28" t="s">
        <v>72</v>
      </c>
      <c r="V40" s="29" t="s">
        <v>73</v>
      </c>
      <c r="W40" s="67"/>
    </row>
    <row r="41" spans="1:23" ht="21">
      <c r="A41" s="17" t="str">
        <f ca="1">IFERROR(__xludf.DUMMYFUNCTION("""COMPUTED_VALUE"""),"GCSE")</f>
        <v>GCSE</v>
      </c>
      <c r="B41" s="17">
        <f ca="1">IFERROR(__xludf.DUMMYFUNCTION("""COMPUTED_VALUE"""),2)</f>
        <v>2</v>
      </c>
      <c r="C41" s="19" t="str">
        <f ca="1">IFERROR(__xludf.DUMMYFUNCTION("""COMPUTED_VALUE"""),"Computer systems")</f>
        <v>Computer systems</v>
      </c>
      <c r="D41" s="17">
        <f ca="1">IFERROR(__xludf.DUMMYFUNCTION("""COMPUTED_VALUE"""),6)</f>
        <v>6</v>
      </c>
      <c r="E41" s="19" t="str">
        <f ca="1">IFERROR(__xludf.DUMMYFUNCTION("""COMPUTED_VALUE"""),"Explain how optical and magnetic memory stores data in the form of binary")</f>
        <v>Explain how optical and magnetic memory stores data in the form of binary</v>
      </c>
      <c r="F41" s="30" t="b">
        <f ca="1">IFERROR(__xludf.DUMMYFUNCTION("""COMPUTED_VALUE"""),TRUE)</f>
        <v>1</v>
      </c>
      <c r="G41" s="26" t="b">
        <f ca="1">IFERROR(__xludf.DUMMYFUNCTION("""COMPUTED_VALUE"""),TRUE)</f>
        <v>1</v>
      </c>
      <c r="H41" s="27" t="b">
        <f ca="1">IFERROR(__xludf.DUMMYFUNCTION("""COMPUTED_VALUE"""),TRUE)</f>
        <v>1</v>
      </c>
      <c r="I41" s="30"/>
      <c r="J41" s="26"/>
      <c r="K41" s="26" t="b">
        <f ca="1">IFERROR(__xludf.DUMMYFUNCTION("""COMPUTED_VALUE"""),TRUE)</f>
        <v>1</v>
      </c>
      <c r="L41" s="26"/>
      <c r="M41" s="26"/>
      <c r="N41" s="26"/>
      <c r="O41" s="26"/>
      <c r="P41" s="26"/>
      <c r="Q41" s="26"/>
      <c r="R41" s="27"/>
      <c r="S41" s="31" t="s">
        <v>70</v>
      </c>
      <c r="T41" s="31" t="s">
        <v>71</v>
      </c>
      <c r="U41" s="31" t="s">
        <v>72</v>
      </c>
      <c r="V41" s="32" t="s">
        <v>73</v>
      </c>
      <c r="W41" s="67"/>
    </row>
    <row r="42" spans="1:23" ht="21">
      <c r="A42" s="17" t="str">
        <f ca="1">IFERROR(__xludf.DUMMYFUNCTION("""COMPUTED_VALUE"""),"GCSE")</f>
        <v>GCSE</v>
      </c>
      <c r="B42" s="17">
        <f ca="1">IFERROR(__xludf.DUMMYFUNCTION("""COMPUTED_VALUE"""),2)</f>
        <v>2</v>
      </c>
      <c r="C42" s="19" t="str">
        <f ca="1">IFERROR(__xludf.DUMMYFUNCTION("""COMPUTED_VALUE"""),"Computer systems")</f>
        <v>Computer systems</v>
      </c>
      <c r="D42" s="17">
        <f ca="1">IFERROR(__xludf.DUMMYFUNCTION("""COMPUTED_VALUE"""),7)</f>
        <v>7</v>
      </c>
      <c r="E42" s="19" t="str">
        <f ca="1">IFERROR(__xludf.DUMMYFUNCTION("""COMPUTED_VALUE"""),"Apply the knowledge of storage devices to recommend an appropriate device")</f>
        <v>Apply the knowledge of storage devices to recommend an appropriate device</v>
      </c>
      <c r="F42" s="30" t="b">
        <f ca="1">IFERROR(__xludf.DUMMYFUNCTION("""COMPUTED_VALUE"""),TRUE)</f>
        <v>1</v>
      </c>
      <c r="G42" s="26" t="b">
        <f ca="1">IFERROR(__xludf.DUMMYFUNCTION("""COMPUTED_VALUE"""),TRUE)</f>
        <v>1</v>
      </c>
      <c r="H42" s="27" t="b">
        <f ca="1">IFERROR(__xludf.DUMMYFUNCTION("""COMPUTED_VALUE"""),TRUE)</f>
        <v>1</v>
      </c>
      <c r="I42" s="30"/>
      <c r="J42" s="26"/>
      <c r="K42" s="26" t="b">
        <f ca="1">IFERROR(__xludf.DUMMYFUNCTION("""COMPUTED_VALUE"""),TRUE)</f>
        <v>1</v>
      </c>
      <c r="L42" s="26"/>
      <c r="M42" s="26"/>
      <c r="N42" s="26"/>
      <c r="O42" s="26"/>
      <c r="P42" s="26"/>
      <c r="Q42" s="26"/>
      <c r="R42" s="27"/>
      <c r="S42" s="28" t="s">
        <v>70</v>
      </c>
      <c r="T42" s="28" t="s">
        <v>71</v>
      </c>
      <c r="U42" s="28" t="s">
        <v>72</v>
      </c>
      <c r="V42" s="29" t="s">
        <v>73</v>
      </c>
      <c r="W42" s="67"/>
    </row>
    <row r="43" spans="1:23" ht="21">
      <c r="A43" s="17" t="str">
        <f ca="1">IFERROR(__xludf.DUMMYFUNCTION("""COMPUTED_VALUE"""),"GCSE")</f>
        <v>GCSE</v>
      </c>
      <c r="B43" s="17">
        <f ca="1">IFERROR(__xludf.DUMMYFUNCTION("""COMPUTED_VALUE"""),2)</f>
        <v>2</v>
      </c>
      <c r="C43" s="19" t="str">
        <f ca="1">IFERROR(__xludf.DUMMYFUNCTION("""COMPUTED_VALUE"""),"Computer systems")</f>
        <v>Computer systems</v>
      </c>
      <c r="D43" s="17">
        <f ca="1">IFERROR(__xludf.DUMMYFUNCTION("""COMPUTED_VALUE"""),7)</f>
        <v>7</v>
      </c>
      <c r="E43" s="19" t="str">
        <f ca="1">IFERROR(__xludf.DUMMYFUNCTION("""COMPUTED_VALUE"""),"Describe the limitations of secondary storage")</f>
        <v>Describe the limitations of secondary storage</v>
      </c>
      <c r="F43" s="30" t="b">
        <f ca="1">IFERROR(__xludf.DUMMYFUNCTION("""COMPUTED_VALUE"""),TRUE)</f>
        <v>1</v>
      </c>
      <c r="G43" s="26" t="b">
        <f ca="1">IFERROR(__xludf.DUMMYFUNCTION("""COMPUTED_VALUE"""),TRUE)</f>
        <v>1</v>
      </c>
      <c r="H43" s="27" t="b">
        <f ca="1">IFERROR(__xludf.DUMMYFUNCTION("""COMPUTED_VALUE"""),TRUE)</f>
        <v>1</v>
      </c>
      <c r="I43" s="30"/>
      <c r="J43" s="26"/>
      <c r="K43" s="26" t="b">
        <f ca="1">IFERROR(__xludf.DUMMYFUNCTION("""COMPUTED_VALUE"""),TRUE)</f>
        <v>1</v>
      </c>
      <c r="L43" s="26"/>
      <c r="M43" s="26"/>
      <c r="N43" s="26"/>
      <c r="O43" s="26"/>
      <c r="P43" s="26"/>
      <c r="Q43" s="26"/>
      <c r="R43" s="27"/>
      <c r="S43" s="28" t="s">
        <v>70</v>
      </c>
      <c r="T43" s="28" t="s">
        <v>77</v>
      </c>
      <c r="U43" s="28" t="s">
        <v>72</v>
      </c>
      <c r="V43" s="29" t="s">
        <v>73</v>
      </c>
      <c r="W43" s="67"/>
    </row>
    <row r="44" spans="1:23" ht="21">
      <c r="A44" s="17" t="str">
        <f ca="1">IFERROR(__xludf.DUMMYFUNCTION("""COMPUTED_VALUE"""),"GCSE")</f>
        <v>GCSE</v>
      </c>
      <c r="B44" s="17">
        <f ca="1">IFERROR(__xludf.DUMMYFUNCTION("""COMPUTED_VALUE"""),2)</f>
        <v>2</v>
      </c>
      <c r="C44" s="19" t="str">
        <f ca="1">IFERROR(__xludf.DUMMYFUNCTION("""COMPUTED_VALUE"""),"Computer systems")</f>
        <v>Computer systems</v>
      </c>
      <c r="D44" s="17">
        <f ca="1">IFERROR(__xludf.DUMMYFUNCTION("""COMPUTED_VALUE"""),7)</f>
        <v>7</v>
      </c>
      <c r="E44" s="19" t="str">
        <f ca="1">IFERROR(__xludf.DUMMYFUNCTION("""COMPUTED_VALUE"""),"Explain the definition of ‘cloud storage’ and describe the characteristics of cloud storage")</f>
        <v>Explain the definition of ‘cloud storage’ and describe the characteristics of cloud storage</v>
      </c>
      <c r="F44" s="30" t="b">
        <f ca="1">IFERROR(__xludf.DUMMYFUNCTION("""COMPUTED_VALUE"""),TRUE)</f>
        <v>1</v>
      </c>
      <c r="G44" s="26" t="b">
        <f ca="1">IFERROR(__xludf.DUMMYFUNCTION("""COMPUTED_VALUE"""),TRUE)</f>
        <v>1</v>
      </c>
      <c r="H44" s="27" t="b">
        <f ca="1">IFERROR(__xludf.DUMMYFUNCTION("""COMPUTED_VALUE"""),TRUE)</f>
        <v>1</v>
      </c>
      <c r="I44" s="30"/>
      <c r="J44" s="26"/>
      <c r="K44" s="26" t="b">
        <f ca="1">IFERROR(__xludf.DUMMYFUNCTION("""COMPUTED_VALUE"""),TRUE)</f>
        <v>1</v>
      </c>
      <c r="L44" s="26"/>
      <c r="M44" s="26"/>
      <c r="N44" s="26"/>
      <c r="O44" s="26"/>
      <c r="P44" s="26" t="b">
        <f ca="1">IFERROR(__xludf.DUMMYFUNCTION("""COMPUTED_VALUE"""),TRUE)</f>
        <v>1</v>
      </c>
      <c r="Q44" s="26"/>
      <c r="R44" s="27"/>
      <c r="S44" s="28" t="s">
        <v>70</v>
      </c>
      <c r="T44" s="28" t="s">
        <v>77</v>
      </c>
      <c r="U44" s="28" t="s">
        <v>72</v>
      </c>
      <c r="V44" s="29" t="s">
        <v>73</v>
      </c>
      <c r="W44" s="67"/>
    </row>
    <row r="45" spans="1:23" ht="21">
      <c r="A45" s="17" t="str">
        <f ca="1">IFERROR(__xludf.DUMMYFUNCTION("""COMPUTED_VALUE"""),"GCSE")</f>
        <v>GCSE</v>
      </c>
      <c r="B45" s="17">
        <f ca="1">IFERROR(__xludf.DUMMYFUNCTION("""COMPUTED_VALUE"""),2)</f>
        <v>2</v>
      </c>
      <c r="C45" s="19" t="str">
        <f ca="1">IFERROR(__xludf.DUMMYFUNCTION("""COMPUTED_VALUE"""),"Computer systems")</f>
        <v>Computer systems</v>
      </c>
      <c r="D45" s="17">
        <f ca="1">IFERROR(__xludf.DUMMYFUNCTION("""COMPUTED_VALUE"""),8)</f>
        <v>8</v>
      </c>
      <c r="E45" s="19" t="str">
        <f ca="1">IFERROR(__xludf.DUMMYFUNCTION("""COMPUTED_VALUE"""),"Evaluate a computer’s suitability for a given task")</f>
        <v>Evaluate a computer’s suitability for a given task</v>
      </c>
      <c r="F45" s="30" t="b">
        <f ca="1">IFERROR(__xludf.DUMMYFUNCTION("""COMPUTED_VALUE"""),TRUE)</f>
        <v>1</v>
      </c>
      <c r="G45" s="26" t="b">
        <f ca="1">IFERROR(__xludf.DUMMYFUNCTION("""COMPUTED_VALUE"""),TRUE)</f>
        <v>1</v>
      </c>
      <c r="H45" s="27" t="b">
        <f ca="1">IFERROR(__xludf.DUMMYFUNCTION("""COMPUTED_VALUE"""),TRUE)</f>
        <v>1</v>
      </c>
      <c r="I45" s="30"/>
      <c r="J45" s="26"/>
      <c r="K45" s="26" t="b">
        <f ca="1">IFERROR(__xludf.DUMMYFUNCTION("""COMPUTED_VALUE"""),TRUE)</f>
        <v>1</v>
      </c>
      <c r="L45" s="26" t="b">
        <f ca="1">IFERROR(__xludf.DUMMYFUNCTION("""COMPUTED_VALUE"""),TRUE)</f>
        <v>1</v>
      </c>
      <c r="M45" s="26"/>
      <c r="N45" s="26"/>
      <c r="O45" s="26"/>
      <c r="P45" s="26"/>
      <c r="Q45" s="26"/>
      <c r="R45" s="27"/>
      <c r="S45" s="28" t="s">
        <v>70</v>
      </c>
      <c r="T45" s="28" t="s">
        <v>71</v>
      </c>
      <c r="U45" s="28" t="s">
        <v>72</v>
      </c>
      <c r="V45" s="29" t="s">
        <v>73</v>
      </c>
      <c r="W45" s="67"/>
    </row>
    <row r="46" spans="1:23" ht="21">
      <c r="A46" s="17" t="str">
        <f ca="1">IFERROR(__xludf.DUMMYFUNCTION("""COMPUTED_VALUE"""),"GCSE")</f>
        <v>GCSE</v>
      </c>
      <c r="B46" s="17">
        <f ca="1">IFERROR(__xludf.DUMMYFUNCTION("""COMPUTED_VALUE"""),2)</f>
        <v>2</v>
      </c>
      <c r="C46" s="19" t="str">
        <f ca="1">IFERROR(__xludf.DUMMYFUNCTION("""COMPUTED_VALUE"""),"Computer systems")</f>
        <v>Computer systems</v>
      </c>
      <c r="D46" s="17">
        <f ca="1">IFERROR(__xludf.DUMMYFUNCTION("""COMPUTED_VALUE"""),8)</f>
        <v>8</v>
      </c>
      <c r="E46" s="19" t="str">
        <f ca="1">IFERROR(__xludf.DUMMYFUNCTION("""COMPUTED_VALUE"""),"Explore the factors that impact a CPU’s performance")</f>
        <v>Explore the factors that impact a CPU’s performance</v>
      </c>
      <c r="F46" s="30" t="b">
        <f ca="1">IFERROR(__xludf.DUMMYFUNCTION("""COMPUTED_VALUE"""),TRUE)</f>
        <v>1</v>
      </c>
      <c r="G46" s="26" t="b">
        <f ca="1">IFERROR(__xludf.DUMMYFUNCTION("""COMPUTED_VALUE"""),TRUE)</f>
        <v>1</v>
      </c>
      <c r="H46" s="27" t="b">
        <f ca="1">IFERROR(__xludf.DUMMYFUNCTION("""COMPUTED_VALUE"""),TRUE)</f>
        <v>1</v>
      </c>
      <c r="I46" s="30"/>
      <c r="J46" s="26"/>
      <c r="K46" s="26" t="b">
        <f ca="1">IFERROR(__xludf.DUMMYFUNCTION("""COMPUTED_VALUE"""),TRUE)</f>
        <v>1</v>
      </c>
      <c r="L46" s="26"/>
      <c r="M46" s="26"/>
      <c r="N46" s="26"/>
      <c r="O46" s="26"/>
      <c r="P46" s="26"/>
      <c r="Q46" s="26"/>
      <c r="R46" s="27"/>
      <c r="S46" s="28" t="s">
        <v>70</v>
      </c>
      <c r="T46" s="28" t="s">
        <v>71</v>
      </c>
      <c r="U46" s="28" t="s">
        <v>72</v>
      </c>
      <c r="V46" s="29" t="s">
        <v>73</v>
      </c>
      <c r="W46" s="67"/>
    </row>
    <row r="47" spans="1:23" ht="21">
      <c r="A47" s="17" t="str">
        <f ca="1">IFERROR(__xludf.DUMMYFUNCTION("""COMPUTED_VALUE"""),"GCSE")</f>
        <v>GCSE</v>
      </c>
      <c r="B47" s="17">
        <f ca="1">IFERROR(__xludf.DUMMYFUNCTION("""COMPUTED_VALUE"""),2)</f>
        <v>2</v>
      </c>
      <c r="C47" s="19" t="str">
        <f ca="1">IFERROR(__xludf.DUMMYFUNCTION("""COMPUTED_VALUE"""),"Computer systems")</f>
        <v>Computer systems</v>
      </c>
      <c r="D47" s="17">
        <f ca="1">IFERROR(__xludf.DUMMYFUNCTION("""COMPUTED_VALUE"""),8)</f>
        <v>8</v>
      </c>
      <c r="E47" s="19" t="str">
        <f ca="1">IFERROR(__xludf.DUMMYFUNCTION("""COMPUTED_VALUE"""),"Select components to create a computer system")</f>
        <v>Select components to create a computer system</v>
      </c>
      <c r="F47" s="30" t="b">
        <f ca="1">IFERROR(__xludf.DUMMYFUNCTION("""COMPUTED_VALUE"""),TRUE)</f>
        <v>1</v>
      </c>
      <c r="G47" s="26" t="b">
        <f ca="1">IFERROR(__xludf.DUMMYFUNCTION("""COMPUTED_VALUE"""),TRUE)</f>
        <v>1</v>
      </c>
      <c r="H47" s="27" t="b">
        <f ca="1">IFERROR(__xludf.DUMMYFUNCTION("""COMPUTED_VALUE"""),TRUE)</f>
        <v>1</v>
      </c>
      <c r="I47" s="30"/>
      <c r="J47" s="26"/>
      <c r="K47" s="26" t="b">
        <f ca="1">IFERROR(__xludf.DUMMYFUNCTION("""COMPUTED_VALUE"""),TRUE)</f>
        <v>1</v>
      </c>
      <c r="L47" s="26" t="b">
        <f ca="1">IFERROR(__xludf.DUMMYFUNCTION("""COMPUTED_VALUE"""),TRUE)</f>
        <v>1</v>
      </c>
      <c r="M47" s="26"/>
      <c r="N47" s="26"/>
      <c r="O47" s="26"/>
      <c r="P47" s="26"/>
      <c r="Q47" s="26"/>
      <c r="R47" s="27"/>
      <c r="S47" s="28" t="s">
        <v>70</v>
      </c>
      <c r="T47" s="28" t="s">
        <v>77</v>
      </c>
      <c r="U47" s="28" t="s">
        <v>72</v>
      </c>
      <c r="V47" s="29" t="s">
        <v>73</v>
      </c>
      <c r="W47" s="67"/>
    </row>
    <row r="48" spans="1:23" ht="21">
      <c r="A48" s="17" t="str">
        <f ca="1">IFERROR(__xludf.DUMMYFUNCTION("""COMPUTED_VALUE"""),"GCSE")</f>
        <v>GCSE</v>
      </c>
      <c r="B48" s="17">
        <f ca="1">IFERROR(__xludf.DUMMYFUNCTION("""COMPUTED_VALUE"""),2)</f>
        <v>2</v>
      </c>
      <c r="C48" s="19" t="str">
        <f ca="1">IFERROR(__xludf.DUMMYFUNCTION("""COMPUTED_VALUE"""),"Computer systems")</f>
        <v>Computer systems</v>
      </c>
      <c r="D48" s="17">
        <f ca="1">IFERROR(__xludf.DUMMYFUNCTION("""COMPUTED_VALUE"""),9)</f>
        <v>9</v>
      </c>
      <c r="E48" s="19" t="str">
        <f ca="1">IFERROR(__xludf.DUMMYFUNCTION("""COMPUTED_VALUE"""),"Design and implement a software project")</f>
        <v>Design and implement a software project</v>
      </c>
      <c r="F48" s="30" t="b">
        <f ca="1">IFERROR(__xludf.DUMMYFUNCTION("""COMPUTED_VALUE"""),TRUE)</f>
        <v>1</v>
      </c>
      <c r="G48" s="26" t="b">
        <f ca="1">IFERROR(__xludf.DUMMYFUNCTION("""COMPUTED_VALUE"""),TRUE)</f>
        <v>1</v>
      </c>
      <c r="H48" s="27" t="b">
        <f ca="1">IFERROR(__xludf.DUMMYFUNCTION("""COMPUTED_VALUE"""),TRUE)</f>
        <v>1</v>
      </c>
      <c r="I48" s="30"/>
      <c r="J48" s="26"/>
      <c r="K48" s="26" t="b">
        <f ca="1">IFERROR(__xludf.DUMMYFUNCTION("""COMPUTED_VALUE"""),TRUE)</f>
        <v>1</v>
      </c>
      <c r="L48" s="26" t="b">
        <f ca="1">IFERROR(__xludf.DUMMYFUNCTION("""COMPUTED_VALUE"""),TRUE)</f>
        <v>1</v>
      </c>
      <c r="M48" s="26"/>
      <c r="N48" s="26"/>
      <c r="O48" s="26"/>
      <c r="P48" s="26"/>
      <c r="Q48" s="26"/>
      <c r="R48" s="27"/>
      <c r="S48" s="28" t="s">
        <v>70</v>
      </c>
      <c r="T48" s="28" t="s">
        <v>77</v>
      </c>
      <c r="U48" s="28" t="s">
        <v>72</v>
      </c>
      <c r="V48" s="29" t="s">
        <v>73</v>
      </c>
      <c r="W48" s="67"/>
    </row>
    <row r="49" spans="1:23" ht="21">
      <c r="A49" s="17" t="str">
        <f ca="1">IFERROR(__xludf.DUMMYFUNCTION("""COMPUTED_VALUE"""),"GCSE")</f>
        <v>GCSE</v>
      </c>
      <c r="B49" s="17">
        <f ca="1">IFERROR(__xludf.DUMMYFUNCTION("""COMPUTED_VALUE"""),2)</f>
        <v>2</v>
      </c>
      <c r="C49" s="19" t="str">
        <f ca="1">IFERROR(__xludf.DUMMYFUNCTION("""COMPUTED_VALUE"""),"Computer systems")</f>
        <v>Computer systems</v>
      </c>
      <c r="D49" s="17">
        <f ca="1">IFERROR(__xludf.DUMMYFUNCTION("""COMPUTED_VALUE"""),9)</f>
        <v>9</v>
      </c>
      <c r="E49" s="19" t="str">
        <f ca="1">IFERROR(__xludf.DUMMYFUNCTION("""COMPUTED_VALUE"""),"Revise computer systems content covered so far")</f>
        <v>Revise computer systems content covered so far</v>
      </c>
      <c r="F49" s="30" t="b">
        <f ca="1">IFERROR(__xludf.DUMMYFUNCTION("""COMPUTED_VALUE"""),TRUE)</f>
        <v>1</v>
      </c>
      <c r="G49" s="26" t="b">
        <f ca="1">IFERROR(__xludf.DUMMYFUNCTION("""COMPUTED_VALUE"""),TRUE)</f>
        <v>1</v>
      </c>
      <c r="H49" s="27" t="b">
        <f ca="1">IFERROR(__xludf.DUMMYFUNCTION("""COMPUTED_VALUE"""),TRUE)</f>
        <v>1</v>
      </c>
      <c r="I49" s="30"/>
      <c r="J49" s="26"/>
      <c r="K49" s="26" t="b">
        <f ca="1">IFERROR(__xludf.DUMMYFUNCTION("""COMPUTED_VALUE"""),TRUE)</f>
        <v>1</v>
      </c>
      <c r="L49" s="26"/>
      <c r="M49" s="26"/>
      <c r="N49" s="26"/>
      <c r="O49" s="26"/>
      <c r="P49" s="26"/>
      <c r="Q49" s="26"/>
      <c r="R49" s="27"/>
      <c r="S49" s="28" t="s">
        <v>70</v>
      </c>
      <c r="T49" s="28" t="s">
        <v>77</v>
      </c>
      <c r="U49" s="28" t="s">
        <v>72</v>
      </c>
      <c r="V49" s="29" t="s">
        <v>73</v>
      </c>
      <c r="W49" s="67"/>
    </row>
    <row r="50" spans="1:23" ht="21">
      <c r="A50" s="17" t="str">
        <f ca="1">IFERROR(__xludf.DUMMYFUNCTION("""COMPUTED_VALUE"""),"GCSE")</f>
        <v>GCSE</v>
      </c>
      <c r="B50" s="17">
        <f ca="1">IFERROR(__xludf.DUMMYFUNCTION("""COMPUTED_VALUE"""),2)</f>
        <v>2</v>
      </c>
      <c r="C50" s="19" t="str">
        <f ca="1">IFERROR(__xludf.DUMMYFUNCTION("""COMPUTED_VALUE"""),"Computer systems")</f>
        <v>Computer systems</v>
      </c>
      <c r="D50" s="17">
        <f ca="1">IFERROR(__xludf.DUMMYFUNCTION("""COMPUTED_VALUE"""),10)</f>
        <v>10</v>
      </c>
      <c r="E50" s="19" t="str">
        <f ca="1">IFERROR(__xludf.DUMMYFUNCTION("""COMPUTED_VALUE"""),"Design a logical circuit, combining logic gates to solve a problem")</f>
        <v>Design a logical circuit, combining logic gates to solve a problem</v>
      </c>
      <c r="F50" s="30" t="b">
        <f ca="1">IFERROR(__xludf.DUMMYFUNCTION("""COMPUTED_VALUE"""),TRUE)</f>
        <v>1</v>
      </c>
      <c r="G50" s="26" t="b">
        <f ca="1">IFERROR(__xludf.DUMMYFUNCTION("""COMPUTED_VALUE"""),TRUE)</f>
        <v>1</v>
      </c>
      <c r="H50" s="27" t="b">
        <f ca="1">IFERROR(__xludf.DUMMYFUNCTION("""COMPUTED_VALUE"""),TRUE)</f>
        <v>1</v>
      </c>
      <c r="I50" s="30" t="b">
        <f ca="1">IFERROR(__xludf.DUMMYFUNCTION("""COMPUTED_VALUE"""),TRUE)</f>
        <v>1</v>
      </c>
      <c r="J50" s="26"/>
      <c r="K50" s="26" t="b">
        <f ca="1">IFERROR(__xludf.DUMMYFUNCTION("""COMPUTED_VALUE"""),TRUE)</f>
        <v>1</v>
      </c>
      <c r="L50" s="26"/>
      <c r="M50" s="26"/>
      <c r="N50" s="26"/>
      <c r="O50" s="26"/>
      <c r="P50" s="26"/>
      <c r="Q50" s="26"/>
      <c r="R50" s="27"/>
      <c r="S50" s="28" t="s">
        <v>70</v>
      </c>
      <c r="T50" s="28" t="s">
        <v>77</v>
      </c>
      <c r="U50" s="28" t="s">
        <v>72</v>
      </c>
      <c r="V50" s="29" t="s">
        <v>73</v>
      </c>
      <c r="W50" s="67"/>
    </row>
    <row r="51" spans="1:23" ht="21">
      <c r="A51" s="17" t="str">
        <f ca="1">IFERROR(__xludf.DUMMYFUNCTION("""COMPUTED_VALUE"""),"GCSE")</f>
        <v>GCSE</v>
      </c>
      <c r="B51" s="17">
        <f ca="1">IFERROR(__xludf.DUMMYFUNCTION("""COMPUTED_VALUE"""),2)</f>
        <v>2</v>
      </c>
      <c r="C51" s="19" t="str">
        <f ca="1">IFERROR(__xludf.DUMMYFUNCTION("""COMPUTED_VALUE"""),"Computer systems")</f>
        <v>Computer systems</v>
      </c>
      <c r="D51" s="17">
        <f ca="1">IFERROR(__xludf.DUMMYFUNCTION("""COMPUTED_VALUE"""),10)</f>
        <v>10</v>
      </c>
      <c r="E51" s="19" t="str">
        <f ca="1">IFERROR(__xludf.DUMMYFUNCTION("""COMPUTED_VALUE"""),"Discover the logic gates AND, NOT, and OR, including their symbols and truth tables")</f>
        <v>Discover the logic gates AND, NOT, and OR, including their symbols and truth tables</v>
      </c>
      <c r="F51" s="30" t="b">
        <f ca="1">IFERROR(__xludf.DUMMYFUNCTION("""COMPUTED_VALUE"""),TRUE)</f>
        <v>1</v>
      </c>
      <c r="G51" s="26" t="b">
        <f ca="1">IFERROR(__xludf.DUMMYFUNCTION("""COMPUTED_VALUE"""),TRUE)</f>
        <v>1</v>
      </c>
      <c r="H51" s="27" t="b">
        <f ca="1">IFERROR(__xludf.DUMMYFUNCTION("""COMPUTED_VALUE"""),TRUE)</f>
        <v>1</v>
      </c>
      <c r="I51" s="30" t="b">
        <f ca="1">IFERROR(__xludf.DUMMYFUNCTION("""COMPUTED_VALUE"""),TRUE)</f>
        <v>1</v>
      </c>
      <c r="J51" s="26"/>
      <c r="K51" s="26" t="b">
        <f ca="1">IFERROR(__xludf.DUMMYFUNCTION("""COMPUTED_VALUE"""),TRUE)</f>
        <v>1</v>
      </c>
      <c r="L51" s="26"/>
      <c r="M51" s="26"/>
      <c r="N51" s="26"/>
      <c r="O51" s="26"/>
      <c r="P51" s="26"/>
      <c r="Q51" s="26"/>
      <c r="R51" s="27"/>
      <c r="S51" s="28" t="s">
        <v>70</v>
      </c>
      <c r="T51" s="28" t="s">
        <v>77</v>
      </c>
      <c r="U51" s="28" t="s">
        <v>72</v>
      </c>
      <c r="V51" s="29" t="s">
        <v>73</v>
      </c>
      <c r="W51" s="67"/>
    </row>
    <row r="52" spans="1:23" ht="21">
      <c r="A52" s="17" t="str">
        <f ca="1">IFERROR(__xludf.DUMMYFUNCTION("""COMPUTED_VALUE"""),"GCSE")</f>
        <v>GCSE</v>
      </c>
      <c r="B52" s="17">
        <f ca="1">IFERROR(__xludf.DUMMYFUNCTION("""COMPUTED_VALUE"""),2)</f>
        <v>2</v>
      </c>
      <c r="C52" s="19" t="str">
        <f ca="1">IFERROR(__xludf.DUMMYFUNCTION("""COMPUTED_VALUE"""),"Computer systems")</f>
        <v>Computer systems</v>
      </c>
      <c r="D52" s="17">
        <f ca="1">IFERROR(__xludf.DUMMYFUNCTION("""COMPUTED_VALUE"""),10)</f>
        <v>10</v>
      </c>
      <c r="E52" s="19" t="str">
        <f ca="1">IFERROR(__xludf.DUMMYFUNCTION("""COMPUTED_VALUE"""),"Learn how logic gates are used in carrying out computation")</f>
        <v>Learn how logic gates are used in carrying out computation</v>
      </c>
      <c r="F52" s="30" t="b">
        <f ca="1">IFERROR(__xludf.DUMMYFUNCTION("""COMPUTED_VALUE"""),TRUE)</f>
        <v>1</v>
      </c>
      <c r="G52" s="26" t="b">
        <f ca="1">IFERROR(__xludf.DUMMYFUNCTION("""COMPUTED_VALUE"""),TRUE)</f>
        <v>1</v>
      </c>
      <c r="H52" s="27" t="b">
        <f ca="1">IFERROR(__xludf.DUMMYFUNCTION("""COMPUTED_VALUE"""),TRUE)</f>
        <v>1</v>
      </c>
      <c r="I52" s="30" t="b">
        <f ca="1">IFERROR(__xludf.DUMMYFUNCTION("""COMPUTED_VALUE"""),TRUE)</f>
        <v>1</v>
      </c>
      <c r="J52" s="26"/>
      <c r="K52" s="26" t="b">
        <f ca="1">IFERROR(__xludf.DUMMYFUNCTION("""COMPUTED_VALUE"""),TRUE)</f>
        <v>1</v>
      </c>
      <c r="L52" s="26"/>
      <c r="M52" s="26"/>
      <c r="N52" s="26"/>
      <c r="O52" s="26"/>
      <c r="P52" s="26"/>
      <c r="Q52" s="26"/>
      <c r="R52" s="27"/>
      <c r="S52" s="28" t="s">
        <v>70</v>
      </c>
      <c r="T52" s="28" t="s">
        <v>77</v>
      </c>
      <c r="U52" s="28" t="s">
        <v>72</v>
      </c>
      <c r="V52" s="29" t="s">
        <v>73</v>
      </c>
      <c r="W52" s="67"/>
    </row>
    <row r="53" spans="1:23" ht="21">
      <c r="A53" s="17" t="str">
        <f ca="1">IFERROR(__xludf.DUMMYFUNCTION("""COMPUTED_VALUE"""),"GCSE")</f>
        <v>GCSE</v>
      </c>
      <c r="B53" s="17">
        <f ca="1">IFERROR(__xludf.DUMMYFUNCTION("""COMPUTED_VALUE"""),2)</f>
        <v>2</v>
      </c>
      <c r="C53" s="19" t="str">
        <f ca="1">IFERROR(__xludf.DUMMYFUNCTION("""COMPUTED_VALUE"""),"Computer systems")</f>
        <v>Computer systems</v>
      </c>
      <c r="D53" s="17">
        <f ca="1">IFERROR(__xludf.DUMMYFUNCTION("""COMPUTED_VALUE"""),11)</f>
        <v>11</v>
      </c>
      <c r="E53" s="19" t="str">
        <f ca="1">IFERROR(__xludf.DUMMYFUNCTION("""COMPUTED_VALUE"""),"Construct truth tables for a three-input logic circuit")</f>
        <v>Construct truth tables for a three-input logic circuit</v>
      </c>
      <c r="F53" s="30" t="b">
        <f ca="1">IFERROR(__xludf.DUMMYFUNCTION("""COMPUTED_VALUE"""),TRUE)</f>
        <v>1</v>
      </c>
      <c r="G53" s="26" t="b">
        <f ca="1">IFERROR(__xludf.DUMMYFUNCTION("""COMPUTED_VALUE"""),TRUE)</f>
        <v>1</v>
      </c>
      <c r="H53" s="27" t="b">
        <f ca="1">IFERROR(__xludf.DUMMYFUNCTION("""COMPUTED_VALUE"""),TRUE)</f>
        <v>1</v>
      </c>
      <c r="I53" s="30" t="b">
        <f ca="1">IFERROR(__xludf.DUMMYFUNCTION("""COMPUTED_VALUE"""),TRUE)</f>
        <v>1</v>
      </c>
      <c r="J53" s="26"/>
      <c r="K53" s="26" t="b">
        <f ca="1">IFERROR(__xludf.DUMMYFUNCTION("""COMPUTED_VALUE"""),TRUE)</f>
        <v>1</v>
      </c>
      <c r="L53" s="26"/>
      <c r="M53" s="26"/>
      <c r="N53" s="26"/>
      <c r="O53" s="26"/>
      <c r="P53" s="26"/>
      <c r="Q53" s="26"/>
      <c r="R53" s="27"/>
      <c r="S53" s="28" t="s">
        <v>70</v>
      </c>
      <c r="T53" s="28" t="s">
        <v>77</v>
      </c>
      <c r="U53" s="28" t="s">
        <v>72</v>
      </c>
      <c r="V53" s="29" t="s">
        <v>73</v>
      </c>
      <c r="W53" s="67"/>
    </row>
    <row r="54" spans="1:23" ht="21">
      <c r="A54" s="17" t="str">
        <f ca="1">IFERROR(__xludf.DUMMYFUNCTION("""COMPUTED_VALUE"""),"GCSE")</f>
        <v>GCSE</v>
      </c>
      <c r="B54" s="17">
        <f ca="1">IFERROR(__xludf.DUMMYFUNCTION("""COMPUTED_VALUE"""),2)</f>
        <v>2</v>
      </c>
      <c r="C54" s="19" t="str">
        <f ca="1">IFERROR(__xludf.DUMMYFUNCTION("""COMPUTED_VALUE"""),"Computer systems")</f>
        <v>Computer systems</v>
      </c>
      <c r="D54" s="17">
        <f ca="1">IFERROR(__xludf.DUMMYFUNCTION("""COMPUTED_VALUE"""),11)</f>
        <v>11</v>
      </c>
      <c r="E54" s="19" t="str">
        <f ca="1">IFERROR(__xludf.DUMMYFUNCTION("""COMPUTED_VALUE"""),"Describe how combinations of logic gates can perform mathematical operations")</f>
        <v>Describe how combinations of logic gates can perform mathematical operations</v>
      </c>
      <c r="F54" s="30" t="b">
        <f ca="1">IFERROR(__xludf.DUMMYFUNCTION("""COMPUTED_VALUE"""),TRUE)</f>
        <v>1</v>
      </c>
      <c r="G54" s="26" t="b">
        <f ca="1">IFERROR(__xludf.DUMMYFUNCTION("""COMPUTED_VALUE"""),TRUE)</f>
        <v>1</v>
      </c>
      <c r="H54" s="27" t="b">
        <f ca="1">IFERROR(__xludf.DUMMYFUNCTION("""COMPUTED_VALUE"""),TRUE)</f>
        <v>1</v>
      </c>
      <c r="I54" s="30" t="b">
        <f ca="1">IFERROR(__xludf.DUMMYFUNCTION("""COMPUTED_VALUE"""),TRUE)</f>
        <v>1</v>
      </c>
      <c r="J54" s="26"/>
      <c r="K54" s="26" t="b">
        <f ca="1">IFERROR(__xludf.DUMMYFUNCTION("""COMPUTED_VALUE"""),TRUE)</f>
        <v>1</v>
      </c>
      <c r="L54" s="26"/>
      <c r="M54" s="26"/>
      <c r="N54" s="26"/>
      <c r="O54" s="26"/>
      <c r="P54" s="26"/>
      <c r="Q54" s="26"/>
      <c r="R54" s="27"/>
      <c r="S54" s="28" t="s">
        <v>70</v>
      </c>
      <c r="T54" s="28" t="s">
        <v>77</v>
      </c>
      <c r="U54" s="28"/>
      <c r="V54" s="29" t="s">
        <v>73</v>
      </c>
      <c r="W54" s="67"/>
    </row>
    <row r="55" spans="1:23" ht="28">
      <c r="A55" s="17" t="str">
        <f ca="1">IFERROR(__xludf.DUMMYFUNCTION("""COMPUTED_VALUE"""),"GCSE")</f>
        <v>GCSE</v>
      </c>
      <c r="B55" s="17">
        <f ca="1">IFERROR(__xludf.DUMMYFUNCTION("""COMPUTED_VALUE"""),2)</f>
        <v>2</v>
      </c>
      <c r="C55" s="19" t="str">
        <f ca="1">IFERROR(__xludf.DUMMYFUNCTION("""COMPUTED_VALUE"""),"Computer systems")</f>
        <v>Computer systems</v>
      </c>
      <c r="D55" s="17">
        <f ca="1">IFERROR(__xludf.DUMMYFUNCTION("""COMPUTED_VALUE"""),11)</f>
        <v>11</v>
      </c>
      <c r="E55" s="19" t="str">
        <f ca="1">IFERROR(__xludf.DUMMYFUNCTION("""COMPUTED_VALUE"""),"Write a Boolean expression to describe a logical circuit")</f>
        <v>Write a Boolean expression to describe a logical circuit</v>
      </c>
      <c r="F55" s="30" t="b">
        <f ca="1">IFERROR(__xludf.DUMMYFUNCTION("""COMPUTED_VALUE"""),TRUE)</f>
        <v>1</v>
      </c>
      <c r="G55" s="26" t="b">
        <f ca="1">IFERROR(__xludf.DUMMYFUNCTION("""COMPUTED_VALUE"""),TRUE)</f>
        <v>1</v>
      </c>
      <c r="H55" s="27" t="b">
        <f ca="1">IFERROR(__xludf.DUMMYFUNCTION("""COMPUTED_VALUE"""),TRUE)</f>
        <v>1</v>
      </c>
      <c r="I55" s="30" t="b">
        <f ca="1">IFERROR(__xludf.DUMMYFUNCTION("""COMPUTED_VALUE"""),TRUE)</f>
        <v>1</v>
      </c>
      <c r="J55" s="26"/>
      <c r="K55" s="26" t="b">
        <f ca="1">IFERROR(__xludf.DUMMYFUNCTION("""COMPUTED_VALUE"""),TRUE)</f>
        <v>1</v>
      </c>
      <c r="L55" s="26"/>
      <c r="M55" s="26"/>
      <c r="N55" s="26"/>
      <c r="O55" s="26"/>
      <c r="P55" s="26"/>
      <c r="Q55" s="26"/>
      <c r="R55" s="27"/>
      <c r="S55" s="28" t="s">
        <v>70</v>
      </c>
      <c r="T55" s="28" t="s">
        <v>78</v>
      </c>
      <c r="U55" s="28" t="s">
        <v>72</v>
      </c>
      <c r="V55" s="29" t="s">
        <v>73</v>
      </c>
      <c r="W55" s="67"/>
    </row>
    <row r="56" spans="1:23" ht="21">
      <c r="A56" s="17" t="str">
        <f ca="1">IFERROR(__xludf.DUMMYFUNCTION("""COMPUTED_VALUE"""),"GCSE")</f>
        <v>GCSE</v>
      </c>
      <c r="B56" s="17">
        <f ca="1">IFERROR(__xludf.DUMMYFUNCTION("""COMPUTED_VALUE"""),2)</f>
        <v>2</v>
      </c>
      <c r="C56" s="19" t="str">
        <f ca="1">IFERROR(__xludf.DUMMYFUNCTION("""COMPUTED_VALUE"""),"Computer systems")</f>
        <v>Computer systems</v>
      </c>
      <c r="D56" s="17">
        <f ca="1">IFERROR(__xludf.DUMMYFUNCTION("""COMPUTED_VALUE"""),12)</f>
        <v>12</v>
      </c>
      <c r="E56" s="19" t="str">
        <f ca="1">IFERROR(__xludf.DUMMYFUNCTION("""COMPUTED_VALUE"""),"Determine that assembly language has a 1:1 relationship with machine code")</f>
        <v>Determine that assembly language has a 1:1 relationship with machine code</v>
      </c>
      <c r="F56" s="30" t="b">
        <f ca="1">IFERROR(__xludf.DUMMYFUNCTION("""COMPUTED_VALUE"""),TRUE)</f>
        <v>1</v>
      </c>
      <c r="G56" s="26" t="b">
        <f ca="1">IFERROR(__xludf.DUMMYFUNCTION("""COMPUTED_VALUE"""),TRUE)</f>
        <v>1</v>
      </c>
      <c r="H56" s="27" t="b">
        <f ca="1">IFERROR(__xludf.DUMMYFUNCTION("""COMPUTED_VALUE"""),TRUE)</f>
        <v>1</v>
      </c>
      <c r="I56" s="30"/>
      <c r="J56" s="26"/>
      <c r="K56" s="26" t="b">
        <f ca="1">IFERROR(__xludf.DUMMYFUNCTION("""COMPUTED_VALUE"""),TRUE)</f>
        <v>1</v>
      </c>
      <c r="L56" s="26"/>
      <c r="M56" s="26"/>
      <c r="N56" s="26"/>
      <c r="O56" s="26"/>
      <c r="P56" s="26"/>
      <c r="Q56" s="26"/>
      <c r="R56" s="27"/>
      <c r="S56" s="28" t="s">
        <v>70</v>
      </c>
      <c r="T56" s="28" t="s">
        <v>71</v>
      </c>
      <c r="U56" s="28"/>
      <c r="V56" s="29" t="s">
        <v>73</v>
      </c>
      <c r="W56" s="67"/>
    </row>
    <row r="57" spans="1:23" ht="28">
      <c r="A57" s="17" t="str">
        <f ca="1">IFERROR(__xludf.DUMMYFUNCTION("""COMPUTED_VALUE"""),"GCSE")</f>
        <v>GCSE</v>
      </c>
      <c r="B57" s="17">
        <f ca="1">IFERROR(__xludf.DUMMYFUNCTION("""COMPUTED_VALUE"""),2)</f>
        <v>2</v>
      </c>
      <c r="C57" s="19" t="str">
        <f ca="1">IFERROR(__xludf.DUMMYFUNCTION("""COMPUTED_VALUE"""),"Computer systems")</f>
        <v>Computer systems</v>
      </c>
      <c r="D57" s="17">
        <f ca="1">IFERROR(__xludf.DUMMYFUNCTION("""COMPUTED_VALUE"""),12)</f>
        <v>12</v>
      </c>
      <c r="E57" s="19" t="str">
        <f ca="1">IFERROR(__xludf.DUMMYFUNCTION("""COMPUTED_VALUE"""),"Explain the basic commands in the LMC’s assembly code: INP, OUT, STA, LDA, ADD, SUB, and BRP")</f>
        <v>Explain the basic commands in the LMC’s assembly code: INP, OUT, STA, LDA, ADD, SUB, and BRP</v>
      </c>
      <c r="F57" s="30" t="b">
        <f ca="1">IFERROR(__xludf.DUMMYFUNCTION("""COMPUTED_VALUE"""),TRUE)</f>
        <v>1</v>
      </c>
      <c r="G57" s="26" t="b">
        <f ca="1">IFERROR(__xludf.DUMMYFUNCTION("""COMPUTED_VALUE"""),TRUE)</f>
        <v>1</v>
      </c>
      <c r="H57" s="27" t="b">
        <f ca="1">IFERROR(__xludf.DUMMYFUNCTION("""COMPUTED_VALUE"""),TRUE)</f>
        <v>1</v>
      </c>
      <c r="I57" s="30"/>
      <c r="J57" s="26"/>
      <c r="K57" s="26" t="b">
        <f ca="1">IFERROR(__xludf.DUMMYFUNCTION("""COMPUTED_VALUE"""),TRUE)</f>
        <v>1</v>
      </c>
      <c r="L57" s="26"/>
      <c r="M57" s="26"/>
      <c r="N57" s="26"/>
      <c r="O57" s="26"/>
      <c r="P57" s="26"/>
      <c r="Q57" s="26" t="b">
        <f ca="1">IFERROR(__xludf.DUMMYFUNCTION("""COMPUTED_VALUE"""),TRUE)</f>
        <v>1</v>
      </c>
      <c r="R57" s="27"/>
      <c r="S57" s="28"/>
      <c r="T57" s="28"/>
      <c r="U57" s="28"/>
      <c r="V57" s="29" t="s">
        <v>73</v>
      </c>
      <c r="W57" s="67"/>
    </row>
    <row r="58" spans="1:23" ht="21">
      <c r="A58" s="17" t="str">
        <f ca="1">IFERROR(__xludf.DUMMYFUNCTION("""COMPUTED_VALUE"""),"GCSE")</f>
        <v>GCSE</v>
      </c>
      <c r="B58" s="17">
        <f ca="1">IFERROR(__xludf.DUMMYFUNCTION("""COMPUTED_VALUE"""),2)</f>
        <v>2</v>
      </c>
      <c r="C58" s="19" t="str">
        <f ca="1">IFERROR(__xludf.DUMMYFUNCTION("""COMPUTED_VALUE"""),"Computer systems")</f>
        <v>Computer systems</v>
      </c>
      <c r="D58" s="17">
        <f ca="1">IFERROR(__xludf.DUMMYFUNCTION("""COMPUTED_VALUE"""),13)</f>
        <v>13</v>
      </c>
      <c r="E58" s="19" t="str">
        <f ca="1">IFERROR(__xludf.DUMMYFUNCTION("""COMPUTED_VALUE"""),"Design and write your own program in assembly language")</f>
        <v>Design and write your own program in assembly language</v>
      </c>
      <c r="F58" s="30" t="b">
        <f ca="1">IFERROR(__xludf.DUMMYFUNCTION("""COMPUTED_VALUE"""),TRUE)</f>
        <v>1</v>
      </c>
      <c r="G58" s="26" t="b">
        <f ca="1">IFERROR(__xludf.DUMMYFUNCTION("""COMPUTED_VALUE"""),TRUE)</f>
        <v>1</v>
      </c>
      <c r="H58" s="27" t="b">
        <f ca="1">IFERROR(__xludf.DUMMYFUNCTION("""COMPUTED_VALUE"""),TRUE)</f>
        <v>1</v>
      </c>
      <c r="I58" s="30"/>
      <c r="J58" s="26"/>
      <c r="K58" s="26" t="b">
        <f ca="1">IFERROR(__xludf.DUMMYFUNCTION("""COMPUTED_VALUE"""),TRUE)</f>
        <v>1</v>
      </c>
      <c r="L58" s="26"/>
      <c r="M58" s="26"/>
      <c r="N58" s="26"/>
      <c r="O58" s="26"/>
      <c r="P58" s="26"/>
      <c r="Q58" s="26" t="b">
        <f ca="1">IFERROR(__xludf.DUMMYFUNCTION("""COMPUTED_VALUE"""),TRUE)</f>
        <v>1</v>
      </c>
      <c r="R58" s="27"/>
      <c r="S58" s="28" t="s">
        <v>70</v>
      </c>
      <c r="T58" s="28"/>
      <c r="U58" s="28"/>
      <c r="V58" s="29"/>
      <c r="W58" s="67"/>
    </row>
    <row r="59" spans="1:23" ht="21">
      <c r="A59" s="17" t="str">
        <f ca="1">IFERROR(__xludf.DUMMYFUNCTION("""COMPUTED_VALUE"""),"GCSE")</f>
        <v>GCSE</v>
      </c>
      <c r="B59" s="17">
        <f ca="1">IFERROR(__xludf.DUMMYFUNCTION("""COMPUTED_VALUE"""),3)</f>
        <v>3</v>
      </c>
      <c r="C59" s="19" t="str">
        <f ca="1">IFERROR(__xludf.DUMMYFUNCTION("""COMPUTED_VALUE"""),"Programming part 2 - Selection")</f>
        <v>Programming part 2 - Selection</v>
      </c>
      <c r="D59" s="17">
        <f ca="1">IFERROR(__xludf.DUMMYFUNCTION("""COMPUTED_VALUE"""),6)</f>
        <v>6</v>
      </c>
      <c r="E59" s="19" t="str">
        <f ca="1">IFERROR(__xludf.DUMMYFUNCTION("""COMPUTED_VALUE"""),"Be able to locate information using the language documentation")</f>
        <v>Be able to locate information using the language documentation</v>
      </c>
      <c r="F59" s="30" t="b">
        <f ca="1">IFERROR(__xludf.DUMMYFUNCTION("""COMPUTED_VALUE"""),TRUE)</f>
        <v>1</v>
      </c>
      <c r="G59" s="26" t="b">
        <f ca="1">IFERROR(__xludf.DUMMYFUNCTION("""COMPUTED_VALUE"""),TRUE)</f>
        <v>1</v>
      </c>
      <c r="H59" s="27"/>
      <c r="I59" s="30"/>
      <c r="J59" s="26"/>
      <c r="K59" s="26"/>
      <c r="L59" s="26"/>
      <c r="M59" s="26"/>
      <c r="N59" s="26" t="b">
        <f ca="1">IFERROR(__xludf.DUMMYFUNCTION("""COMPUTED_VALUE"""),TRUE)</f>
        <v>1</v>
      </c>
      <c r="O59" s="26"/>
      <c r="P59" s="26"/>
      <c r="Q59" s="26" t="b">
        <f ca="1">IFERROR(__xludf.DUMMYFUNCTION("""COMPUTED_VALUE"""),TRUE)</f>
        <v>1</v>
      </c>
      <c r="R59" s="27"/>
      <c r="S59" s="28"/>
      <c r="T59" s="28"/>
      <c r="U59" s="28"/>
      <c r="V59" s="29"/>
      <c r="W59" s="67"/>
    </row>
    <row r="60" spans="1:23" ht="21">
      <c r="A60" s="17" t="str">
        <f ca="1">IFERROR(__xludf.DUMMYFUNCTION("""COMPUTED_VALUE"""),"GCSE")</f>
        <v>GCSE</v>
      </c>
      <c r="B60" s="17">
        <f ca="1">IFERROR(__xludf.DUMMYFUNCTION("""COMPUTED_VALUE"""),3)</f>
        <v>3</v>
      </c>
      <c r="C60" s="19" t="str">
        <f ca="1">IFERROR(__xludf.DUMMYFUNCTION("""COMPUTED_VALUE"""),"Programming part 2 - Selection")</f>
        <v>Programming part 2 - Selection</v>
      </c>
      <c r="D60" s="17">
        <f ca="1">IFERROR(__xludf.DUMMYFUNCTION("""COMPUTED_VALUE"""),6)</f>
        <v>6</v>
      </c>
      <c r="E60" s="19" t="str">
        <f ca="1">IFERROR(__xludf.DUMMYFUNCTION("""COMPUTED_VALUE"""),"Demonstrate how to generate random numbers")</f>
        <v>Demonstrate how to generate random numbers</v>
      </c>
      <c r="F60" s="30" t="b">
        <f ca="1">IFERROR(__xludf.DUMMYFUNCTION("""COMPUTED_VALUE"""),TRUE)</f>
        <v>1</v>
      </c>
      <c r="G60" s="26" t="b">
        <f ca="1">IFERROR(__xludf.DUMMYFUNCTION("""COMPUTED_VALUE"""),TRUE)</f>
        <v>1</v>
      </c>
      <c r="H60" s="27"/>
      <c r="I60" s="30"/>
      <c r="J60" s="26"/>
      <c r="K60" s="26"/>
      <c r="L60" s="26"/>
      <c r="M60" s="26"/>
      <c r="N60" s="26"/>
      <c r="O60" s="26"/>
      <c r="P60" s="26"/>
      <c r="Q60" s="26" t="b">
        <f ca="1">IFERROR(__xludf.DUMMYFUNCTION("""COMPUTED_VALUE"""),TRUE)</f>
        <v>1</v>
      </c>
      <c r="R60" s="27"/>
      <c r="S60" s="31" t="s">
        <v>70</v>
      </c>
      <c r="T60" s="31" t="s">
        <v>71</v>
      </c>
      <c r="U60" s="31" t="s">
        <v>72</v>
      </c>
      <c r="V60" s="32" t="s">
        <v>73</v>
      </c>
      <c r="W60" s="67"/>
    </row>
    <row r="61" spans="1:23" ht="21">
      <c r="A61" s="17" t="str">
        <f ca="1">IFERROR(__xludf.DUMMYFUNCTION("""COMPUTED_VALUE"""),"GCSE")</f>
        <v>GCSE</v>
      </c>
      <c r="B61" s="17">
        <f ca="1">IFERROR(__xludf.DUMMYFUNCTION("""COMPUTED_VALUE"""),3)</f>
        <v>3</v>
      </c>
      <c r="C61" s="19" t="str">
        <f ca="1">IFERROR(__xludf.DUMMYFUNCTION("""COMPUTED_VALUE"""),"Programming part 2 - Selection")</f>
        <v>Programming part 2 - Selection</v>
      </c>
      <c r="D61" s="17">
        <f ca="1">IFERROR(__xludf.DUMMYFUNCTION("""COMPUTED_VALUE"""),6)</f>
        <v>6</v>
      </c>
      <c r="E61" s="19" t="str">
        <f ca="1">IFERROR(__xludf.DUMMYFUNCTION("""COMPUTED_VALUE"""),"Import modules into your code")</f>
        <v>Import modules into your code</v>
      </c>
      <c r="F61" s="30" t="b">
        <f ca="1">IFERROR(__xludf.DUMMYFUNCTION("""COMPUTED_VALUE"""),TRUE)</f>
        <v>1</v>
      </c>
      <c r="G61" s="26" t="b">
        <f ca="1">IFERROR(__xludf.DUMMYFUNCTION("""COMPUTED_VALUE"""),TRUE)</f>
        <v>1</v>
      </c>
      <c r="H61" s="27"/>
      <c r="I61" s="30"/>
      <c r="J61" s="26"/>
      <c r="K61" s="26"/>
      <c r="L61" s="26"/>
      <c r="M61" s="26"/>
      <c r="N61" s="26"/>
      <c r="O61" s="26"/>
      <c r="P61" s="26"/>
      <c r="Q61" s="26" t="b">
        <f ca="1">IFERROR(__xludf.DUMMYFUNCTION("""COMPUTED_VALUE"""),TRUE)</f>
        <v>1</v>
      </c>
      <c r="R61" s="27"/>
      <c r="S61" s="28" t="s">
        <v>70</v>
      </c>
      <c r="T61" s="28" t="s">
        <v>79</v>
      </c>
      <c r="U61" s="28"/>
      <c r="V61" s="29"/>
      <c r="W61" s="67"/>
    </row>
    <row r="62" spans="1:23" ht="21">
      <c r="A62" s="17" t="str">
        <f ca="1">IFERROR(__xludf.DUMMYFUNCTION("""COMPUTED_VALUE"""),"GCSE")</f>
        <v>GCSE</v>
      </c>
      <c r="B62" s="17">
        <f ca="1">IFERROR(__xludf.DUMMYFUNCTION("""COMPUTED_VALUE"""),3)</f>
        <v>3</v>
      </c>
      <c r="C62" s="19" t="str">
        <f ca="1">IFERROR(__xludf.DUMMYFUNCTION("""COMPUTED_VALUE"""),"Programming part 2 - Selection")</f>
        <v>Programming part 2 - Selection</v>
      </c>
      <c r="D62" s="17">
        <f ca="1">IFERROR(__xludf.DUMMYFUNCTION("""COMPUTED_VALUE"""),7)</f>
        <v>7</v>
      </c>
      <c r="E62" s="19" t="str">
        <f ca="1">IFERROR(__xludf.DUMMYFUNCTION("""COMPUTED_VALUE"""),"Assign expressions to variables")</f>
        <v>Assign expressions to variables</v>
      </c>
      <c r="F62" s="30" t="b">
        <f ca="1">IFERROR(__xludf.DUMMYFUNCTION("""COMPUTED_VALUE"""),TRUE)</f>
        <v>1</v>
      </c>
      <c r="G62" s="26" t="b">
        <f ca="1">IFERROR(__xludf.DUMMYFUNCTION("""COMPUTED_VALUE"""),TRUE)</f>
        <v>1</v>
      </c>
      <c r="H62" s="27"/>
      <c r="I62" s="30"/>
      <c r="J62" s="26"/>
      <c r="K62" s="26"/>
      <c r="L62" s="26"/>
      <c r="M62" s="26"/>
      <c r="N62" s="26"/>
      <c r="O62" s="26"/>
      <c r="P62" s="26"/>
      <c r="Q62" s="26" t="b">
        <f ca="1">IFERROR(__xludf.DUMMYFUNCTION("""COMPUTED_VALUE"""),TRUE)</f>
        <v>1</v>
      </c>
      <c r="R62" s="27"/>
      <c r="S62" s="28" t="s">
        <v>70</v>
      </c>
      <c r="T62" s="28" t="s">
        <v>79</v>
      </c>
      <c r="U62" s="28" t="s">
        <v>67</v>
      </c>
      <c r="V62" s="29" t="s">
        <v>80</v>
      </c>
      <c r="W62" s="67"/>
    </row>
    <row r="63" spans="1:23" ht="21">
      <c r="A63" s="17" t="str">
        <f ca="1">IFERROR(__xludf.DUMMYFUNCTION("""COMPUTED_VALUE"""),"GCSE")</f>
        <v>GCSE</v>
      </c>
      <c r="B63" s="17">
        <f ca="1">IFERROR(__xludf.DUMMYFUNCTION("""COMPUTED_VALUE"""),3)</f>
        <v>3</v>
      </c>
      <c r="C63" s="19" t="str">
        <f ca="1">IFERROR(__xludf.DUMMYFUNCTION("""COMPUTED_VALUE"""),"Programming part 2 - Selection")</f>
        <v>Programming part 2 - Selection</v>
      </c>
      <c r="D63" s="17">
        <f ca="1">IFERROR(__xludf.DUMMYFUNCTION("""COMPUTED_VALUE"""),7)</f>
        <v>7</v>
      </c>
      <c r="E63" s="19" t="str">
        <f ca="1">IFERROR(__xludf.DUMMYFUNCTION("""COMPUTED_VALUE"""),"Evaluate arithmetic expressions using rules of operator precedence (BIDMAS)")</f>
        <v>Evaluate arithmetic expressions using rules of operator precedence (BIDMAS)</v>
      </c>
      <c r="F63" s="30" t="b">
        <f ca="1">IFERROR(__xludf.DUMMYFUNCTION("""COMPUTED_VALUE"""),TRUE)</f>
        <v>1</v>
      </c>
      <c r="G63" s="26" t="b">
        <f ca="1">IFERROR(__xludf.DUMMYFUNCTION("""COMPUTED_VALUE"""),TRUE)</f>
        <v>1</v>
      </c>
      <c r="H63" s="27"/>
      <c r="I63" s="30"/>
      <c r="J63" s="26"/>
      <c r="K63" s="26"/>
      <c r="L63" s="26"/>
      <c r="M63" s="26"/>
      <c r="N63" s="26"/>
      <c r="O63" s="26"/>
      <c r="P63" s="26"/>
      <c r="Q63" s="26" t="b">
        <f ca="1">IFERROR(__xludf.DUMMYFUNCTION("""COMPUTED_VALUE"""),TRUE)</f>
        <v>1</v>
      </c>
      <c r="R63" s="27"/>
      <c r="S63" s="28" t="s">
        <v>70</v>
      </c>
      <c r="T63" s="28" t="s">
        <v>79</v>
      </c>
      <c r="U63" s="28" t="s">
        <v>67</v>
      </c>
      <c r="V63" s="29" t="s">
        <v>80</v>
      </c>
      <c r="W63" s="67"/>
    </row>
    <row r="64" spans="1:23" ht="28">
      <c r="A64" s="17" t="str">
        <f ca="1">IFERROR(__xludf.DUMMYFUNCTION("""COMPUTED_VALUE"""),"GCSE")</f>
        <v>GCSE</v>
      </c>
      <c r="B64" s="17">
        <f ca="1">IFERROR(__xludf.DUMMYFUNCTION("""COMPUTED_VALUE"""),3)</f>
        <v>3</v>
      </c>
      <c r="C64" s="19" t="str">
        <f ca="1">IFERROR(__xludf.DUMMYFUNCTION("""COMPUTED_VALUE"""),"Programming part 2 - Selection")</f>
        <v>Programming part 2 - Selection</v>
      </c>
      <c r="D64" s="17">
        <f ca="1">IFERROR(__xludf.DUMMYFUNCTION("""COMPUTED_VALUE"""),7)</f>
        <v>7</v>
      </c>
      <c r="E64" s="19" t="str">
        <f ca="1">IFERROR(__xludf.DUMMYFUNCTION("""COMPUTED_VALUE"""),"Write and use expressions that use arithmetic operators (add, subtract, multiply, real division, integer division, MOD, to the power)")</f>
        <v>Write and use expressions that use arithmetic operators (add, subtract, multiply, real division, integer division, MOD, to the power)</v>
      </c>
      <c r="F64" s="30" t="b">
        <f ca="1">IFERROR(__xludf.DUMMYFUNCTION("""COMPUTED_VALUE"""),TRUE)</f>
        <v>1</v>
      </c>
      <c r="G64" s="26" t="b">
        <f ca="1">IFERROR(__xludf.DUMMYFUNCTION("""COMPUTED_VALUE"""),TRUE)</f>
        <v>1</v>
      </c>
      <c r="H64" s="27"/>
      <c r="I64" s="30"/>
      <c r="J64" s="26"/>
      <c r="K64" s="26"/>
      <c r="L64" s="26"/>
      <c r="M64" s="26"/>
      <c r="N64" s="26"/>
      <c r="O64" s="26"/>
      <c r="P64" s="26"/>
      <c r="Q64" s="26" t="b">
        <f ca="1">IFERROR(__xludf.DUMMYFUNCTION("""COMPUTED_VALUE"""),TRUE)</f>
        <v>1</v>
      </c>
      <c r="R64" s="27"/>
      <c r="S64" s="28" t="s">
        <v>70</v>
      </c>
      <c r="T64" s="28" t="s">
        <v>79</v>
      </c>
      <c r="U64" s="28" t="s">
        <v>67</v>
      </c>
      <c r="V64" s="29" t="s">
        <v>80</v>
      </c>
      <c r="W64" s="67"/>
    </row>
    <row r="65" spans="1:23" ht="21">
      <c r="A65" s="17" t="str">
        <f ca="1">IFERROR(__xludf.DUMMYFUNCTION("""COMPUTED_VALUE"""),"GCSE")</f>
        <v>GCSE</v>
      </c>
      <c r="B65" s="17">
        <f ca="1">IFERROR(__xludf.DUMMYFUNCTION("""COMPUTED_VALUE"""),3)</f>
        <v>3</v>
      </c>
      <c r="C65" s="19" t="str">
        <f ca="1">IFERROR(__xludf.DUMMYFUNCTION("""COMPUTED_VALUE"""),"Programming part 2 - Selection")</f>
        <v>Programming part 2 - Selection</v>
      </c>
      <c r="D65" s="17">
        <f ca="1">IFERROR(__xludf.DUMMYFUNCTION("""COMPUTED_VALUE"""),8)</f>
        <v>8</v>
      </c>
      <c r="E65" s="19" t="str">
        <f ca="1">IFERROR(__xludf.DUMMYFUNCTION("""COMPUTED_VALUE"""),"Define a condition as an expression that can be evaluated to either True or False")</f>
        <v>Define a condition as an expression that can be evaluated to either True or False</v>
      </c>
      <c r="F65" s="30" t="b">
        <f ca="1">IFERROR(__xludf.DUMMYFUNCTION("""COMPUTED_VALUE"""),TRUE)</f>
        <v>1</v>
      </c>
      <c r="G65" s="26" t="b">
        <f ca="1">IFERROR(__xludf.DUMMYFUNCTION("""COMPUTED_VALUE"""),TRUE)</f>
        <v>1</v>
      </c>
      <c r="H65" s="27"/>
      <c r="I65" s="30"/>
      <c r="J65" s="26"/>
      <c r="K65" s="26"/>
      <c r="L65" s="26"/>
      <c r="M65" s="26"/>
      <c r="N65" s="26"/>
      <c r="O65" s="26"/>
      <c r="P65" s="26"/>
      <c r="Q65" s="26" t="b">
        <f ca="1">IFERROR(__xludf.DUMMYFUNCTION("""COMPUTED_VALUE"""),TRUE)</f>
        <v>1</v>
      </c>
      <c r="R65" s="27"/>
      <c r="S65" s="28" t="s">
        <v>70</v>
      </c>
      <c r="T65" s="28" t="s">
        <v>79</v>
      </c>
      <c r="U65" s="28" t="s">
        <v>67</v>
      </c>
      <c r="V65" s="29" t="s">
        <v>80</v>
      </c>
      <c r="W65" s="67"/>
    </row>
    <row r="66" spans="1:23" ht="21">
      <c r="A66" s="17" t="str">
        <f ca="1">IFERROR(__xludf.DUMMYFUNCTION("""COMPUTED_VALUE"""),"GCSE")</f>
        <v>GCSE</v>
      </c>
      <c r="B66" s="17">
        <f ca="1">IFERROR(__xludf.DUMMYFUNCTION("""COMPUTED_VALUE"""),3)</f>
        <v>3</v>
      </c>
      <c r="C66" s="19" t="str">
        <f ca="1">IFERROR(__xludf.DUMMYFUNCTION("""COMPUTED_VALUE"""),"Programming part 2 - Selection")</f>
        <v>Programming part 2 - Selection</v>
      </c>
      <c r="D66" s="17">
        <f ca="1">IFERROR(__xludf.DUMMYFUNCTION("""COMPUTED_VALUE"""),8)</f>
        <v>8</v>
      </c>
      <c r="E66" s="19" t="str">
        <f ca="1">IFERROR(__xludf.DUMMYFUNCTION("""COMPUTED_VALUE"""),"Identify flowchart symbols and describe how to use them (decision)")</f>
        <v>Identify flowchart symbols and describe how to use them (decision)</v>
      </c>
      <c r="F66" s="30" t="b">
        <f ca="1">IFERROR(__xludf.DUMMYFUNCTION("""COMPUTED_VALUE"""),TRUE)</f>
        <v>1</v>
      </c>
      <c r="G66" s="26" t="b">
        <f ca="1">IFERROR(__xludf.DUMMYFUNCTION("""COMPUTED_VALUE"""),TRUE)</f>
        <v>1</v>
      </c>
      <c r="H66" s="27"/>
      <c r="I66" s="30" t="b">
        <f ca="1">IFERROR(__xludf.DUMMYFUNCTION("""COMPUTED_VALUE"""),TRUE)</f>
        <v>1</v>
      </c>
      <c r="J66" s="26"/>
      <c r="K66" s="26"/>
      <c r="L66" s="26"/>
      <c r="M66" s="26"/>
      <c r="N66" s="26"/>
      <c r="O66" s="26"/>
      <c r="P66" s="26"/>
      <c r="Q66" s="26" t="b">
        <f ca="1">IFERROR(__xludf.DUMMYFUNCTION("""COMPUTED_VALUE"""),TRUE)</f>
        <v>1</v>
      </c>
      <c r="R66" s="27"/>
      <c r="S66" s="28"/>
      <c r="T66" s="28" t="s">
        <v>79</v>
      </c>
      <c r="U66" s="28" t="s">
        <v>67</v>
      </c>
      <c r="V66" s="29" t="s">
        <v>80</v>
      </c>
      <c r="W66" s="67"/>
    </row>
    <row r="67" spans="1:23" ht="42">
      <c r="A67" s="17" t="str">
        <f ca="1">IFERROR(__xludf.DUMMYFUNCTION("""COMPUTED_VALUE"""),"GCSE")</f>
        <v>GCSE</v>
      </c>
      <c r="B67" s="17">
        <f ca="1">IFERROR(__xludf.DUMMYFUNCTION("""COMPUTED_VALUE"""),3)</f>
        <v>3</v>
      </c>
      <c r="C67" s="19" t="str">
        <f ca="1">IFERROR(__xludf.DUMMYFUNCTION("""COMPUTED_VALUE"""),"Programming part 2 - Selection")</f>
        <v>Programming part 2 - Selection</v>
      </c>
      <c r="D67" s="17">
        <f ca="1">IFERROR(__xludf.DUMMYFUNCTION("""COMPUTED_VALUE"""),8)</f>
        <v>8</v>
      </c>
      <c r="E67" s="19" t="str">
        <f ca="1">IFERROR(__xludf.DUMMYFUNCTION("""COMPUTED_VALUE"""),"Identify that selection uses conditions to control the flow of execution")</f>
        <v>Identify that selection uses conditions to control the flow of execution</v>
      </c>
      <c r="F67" s="30" t="b">
        <f ca="1">IFERROR(__xludf.DUMMYFUNCTION("""COMPUTED_VALUE"""),TRUE)</f>
        <v>1</v>
      </c>
      <c r="G67" s="26" t="b">
        <f ca="1">IFERROR(__xludf.DUMMYFUNCTION("""COMPUTED_VALUE"""),TRUE)</f>
        <v>1</v>
      </c>
      <c r="H67" s="27"/>
      <c r="I67" s="30" t="b">
        <f ca="1">IFERROR(__xludf.DUMMYFUNCTION("""COMPUTED_VALUE"""),TRUE)</f>
        <v>1</v>
      </c>
      <c r="J67" s="26"/>
      <c r="K67" s="26"/>
      <c r="L67" s="26"/>
      <c r="M67" s="26"/>
      <c r="N67" s="26"/>
      <c r="O67" s="26"/>
      <c r="P67" s="26"/>
      <c r="Q67" s="26" t="b">
        <f ca="1">IFERROR(__xludf.DUMMYFUNCTION("""COMPUTED_VALUE"""),TRUE)</f>
        <v>1</v>
      </c>
      <c r="R67" s="27"/>
      <c r="S67" s="28" t="s">
        <v>70</v>
      </c>
      <c r="T67" s="28" t="s">
        <v>81</v>
      </c>
      <c r="U67" s="28" t="s">
        <v>67</v>
      </c>
      <c r="V67" s="29" t="s">
        <v>80</v>
      </c>
      <c r="W67" s="67"/>
    </row>
    <row r="68" spans="1:23" ht="21">
      <c r="A68" s="17" t="str">
        <f ca="1">IFERROR(__xludf.DUMMYFUNCTION("""COMPUTED_VALUE"""),"GCSE")</f>
        <v>GCSE</v>
      </c>
      <c r="B68" s="17">
        <f ca="1">IFERROR(__xludf.DUMMYFUNCTION("""COMPUTED_VALUE"""),3)</f>
        <v>3</v>
      </c>
      <c r="C68" s="19" t="str">
        <f ca="1">IFERROR(__xludf.DUMMYFUNCTION("""COMPUTED_VALUE"""),"Programming part 2 - Selection")</f>
        <v>Programming part 2 - Selection</v>
      </c>
      <c r="D68" s="17">
        <f ca="1">IFERROR(__xludf.DUMMYFUNCTION("""COMPUTED_VALUE"""),8)</f>
        <v>8</v>
      </c>
      <c r="E68" s="19" t="str">
        <f ca="1">IFERROR(__xludf.DUMMYFUNCTION("""COMPUTED_VALUE"""),"Walk through code that includes selection (if, elif, else)")</f>
        <v>Walk through code that includes selection (if, elif, else)</v>
      </c>
      <c r="F68" s="30" t="b">
        <f ca="1">IFERROR(__xludf.DUMMYFUNCTION("""COMPUTED_VALUE"""),TRUE)</f>
        <v>1</v>
      </c>
      <c r="G68" s="26" t="b">
        <f ca="1">IFERROR(__xludf.DUMMYFUNCTION("""COMPUTED_VALUE"""),TRUE)</f>
        <v>1</v>
      </c>
      <c r="H68" s="27"/>
      <c r="I68" s="30" t="b">
        <f ca="1">IFERROR(__xludf.DUMMYFUNCTION("""COMPUTED_VALUE"""),TRUE)</f>
        <v>1</v>
      </c>
      <c r="J68" s="26"/>
      <c r="K68" s="26"/>
      <c r="L68" s="26"/>
      <c r="M68" s="26"/>
      <c r="N68" s="26"/>
      <c r="O68" s="26"/>
      <c r="P68" s="26"/>
      <c r="Q68" s="26" t="b">
        <f ca="1">IFERROR(__xludf.DUMMYFUNCTION("""COMPUTED_VALUE"""),TRUE)</f>
        <v>1</v>
      </c>
      <c r="R68" s="27"/>
      <c r="S68" s="28"/>
      <c r="T68" s="28"/>
      <c r="U68" s="28"/>
      <c r="V68" s="29" t="s">
        <v>82</v>
      </c>
      <c r="W68" s="67"/>
    </row>
    <row r="69" spans="1:23" ht="21">
      <c r="A69" s="17" t="str">
        <f ca="1">IFERROR(__xludf.DUMMYFUNCTION("""COMPUTED_VALUE"""),"GCSE")</f>
        <v>GCSE</v>
      </c>
      <c r="B69" s="17">
        <f ca="1">IFERROR(__xludf.DUMMYFUNCTION("""COMPUTED_VALUE"""),3)</f>
        <v>3</v>
      </c>
      <c r="C69" s="19" t="str">
        <f ca="1">IFERROR(__xludf.DUMMYFUNCTION("""COMPUTED_VALUE"""),"Programming part 2 - Selection")</f>
        <v>Programming part 2 - Selection</v>
      </c>
      <c r="D69" s="17">
        <f ca="1">IFERROR(__xludf.DUMMYFUNCTION("""COMPUTED_VALUE"""),9)</f>
        <v>9</v>
      </c>
      <c r="E69" s="19" t="str">
        <f ca="1">IFERROR(__xludf.DUMMYFUNCTION("""COMPUTED_VALUE"""),"Identify when selection statements should be used in programs")</f>
        <v>Identify when selection statements should be used in programs</v>
      </c>
      <c r="F69" s="30" t="b">
        <f ca="1">IFERROR(__xludf.DUMMYFUNCTION("""COMPUTED_VALUE"""),TRUE)</f>
        <v>1</v>
      </c>
      <c r="G69" s="26" t="b">
        <f ca="1">IFERROR(__xludf.DUMMYFUNCTION("""COMPUTED_VALUE"""),TRUE)</f>
        <v>1</v>
      </c>
      <c r="H69" s="27"/>
      <c r="I69" s="30" t="b">
        <f ca="1">IFERROR(__xludf.DUMMYFUNCTION("""COMPUTED_VALUE"""),TRUE)</f>
        <v>1</v>
      </c>
      <c r="J69" s="26"/>
      <c r="K69" s="26"/>
      <c r="L69" s="26"/>
      <c r="M69" s="26"/>
      <c r="N69" s="26"/>
      <c r="O69" s="26"/>
      <c r="P69" s="26"/>
      <c r="Q69" s="26" t="b">
        <f ca="1">IFERROR(__xludf.DUMMYFUNCTION("""COMPUTED_VALUE"""),TRUE)</f>
        <v>1</v>
      </c>
      <c r="R69" s="27"/>
      <c r="S69" s="31" t="s">
        <v>70</v>
      </c>
      <c r="T69" s="28"/>
      <c r="U69" s="28"/>
      <c r="V69" s="29"/>
      <c r="W69" s="67"/>
    </row>
    <row r="70" spans="1:23" ht="21">
      <c r="A70" s="17" t="str">
        <f ca="1">IFERROR(__xludf.DUMMYFUNCTION("""COMPUTED_VALUE"""),"GCSE")</f>
        <v>GCSE</v>
      </c>
      <c r="B70" s="17">
        <f ca="1">IFERROR(__xludf.DUMMYFUNCTION("""COMPUTED_VALUE"""),3)</f>
        <v>3</v>
      </c>
      <c r="C70" s="19" t="str">
        <f ca="1">IFERROR(__xludf.DUMMYFUNCTION("""COMPUTED_VALUE"""),"Programming part 2 - Selection")</f>
        <v>Programming part 2 - Selection</v>
      </c>
      <c r="D70" s="17">
        <f ca="1">IFERROR(__xludf.DUMMYFUNCTION("""COMPUTED_VALUE"""),9)</f>
        <v>9</v>
      </c>
      <c r="E70" s="19" t="str">
        <f ca="1">IFERROR(__xludf.DUMMYFUNCTION("""COMPUTED_VALUE"""),"Use selection statements in a program")</f>
        <v>Use selection statements in a program</v>
      </c>
      <c r="F70" s="30" t="b">
        <f ca="1">IFERROR(__xludf.DUMMYFUNCTION("""COMPUTED_VALUE"""),TRUE)</f>
        <v>1</v>
      </c>
      <c r="G70" s="26" t="b">
        <f ca="1">IFERROR(__xludf.DUMMYFUNCTION("""COMPUTED_VALUE"""),TRUE)</f>
        <v>1</v>
      </c>
      <c r="H70" s="27"/>
      <c r="I70" s="30"/>
      <c r="J70" s="26"/>
      <c r="K70" s="26"/>
      <c r="L70" s="26"/>
      <c r="M70" s="26"/>
      <c r="N70" s="26"/>
      <c r="O70" s="26"/>
      <c r="P70" s="26"/>
      <c r="Q70" s="26" t="b">
        <f ca="1">IFERROR(__xludf.DUMMYFUNCTION("""COMPUTED_VALUE"""),TRUE)</f>
        <v>1</v>
      </c>
      <c r="R70" s="27"/>
      <c r="S70" s="28" t="s">
        <v>70</v>
      </c>
      <c r="T70" s="28"/>
      <c r="U70" s="28"/>
      <c r="V70" s="29"/>
      <c r="W70" s="67"/>
    </row>
    <row r="71" spans="1:23" ht="28">
      <c r="A71" s="17" t="str">
        <f ca="1">IFERROR(__xludf.DUMMYFUNCTION("""COMPUTED_VALUE"""),"GCSE")</f>
        <v>GCSE</v>
      </c>
      <c r="B71" s="17">
        <f ca="1">IFERROR(__xludf.DUMMYFUNCTION("""COMPUTED_VALUE"""),3)</f>
        <v>3</v>
      </c>
      <c r="C71" s="19" t="str">
        <f ca="1">IFERROR(__xludf.DUMMYFUNCTION("""COMPUTED_VALUE"""),"Programming part 2 - Selection")</f>
        <v>Programming part 2 - Selection</v>
      </c>
      <c r="D71" s="17">
        <f ca="1">IFERROR(__xludf.DUMMYFUNCTION("""COMPUTED_VALUE"""),9)</f>
        <v>9</v>
      </c>
      <c r="E71" s="19" t="str">
        <f ca="1">IFERROR(__xludf.DUMMYFUNCTION("""COMPUTED_VALUE"""),"Write and use expressions that use comparison operators (equal to, not equal to, less than, greater than, less than or equal to, greater than or equal to)")</f>
        <v>Write and use expressions that use comparison operators (equal to, not equal to, less than, greater than, less than or equal to, greater than or equal to)</v>
      </c>
      <c r="F71" s="30" t="b">
        <f ca="1">IFERROR(__xludf.DUMMYFUNCTION("""COMPUTED_VALUE"""),TRUE)</f>
        <v>1</v>
      </c>
      <c r="G71" s="26" t="b">
        <f ca="1">IFERROR(__xludf.DUMMYFUNCTION("""COMPUTED_VALUE"""),TRUE)</f>
        <v>1</v>
      </c>
      <c r="H71" s="27"/>
      <c r="I71" s="30"/>
      <c r="J71" s="26"/>
      <c r="K71" s="26"/>
      <c r="L71" s="26"/>
      <c r="M71" s="26"/>
      <c r="N71" s="26"/>
      <c r="O71" s="26"/>
      <c r="P71" s="26"/>
      <c r="Q71" s="26" t="b">
        <f ca="1">IFERROR(__xludf.DUMMYFUNCTION("""COMPUTED_VALUE"""),TRUE)</f>
        <v>1</v>
      </c>
      <c r="R71" s="27"/>
      <c r="S71" s="28" t="s">
        <v>83</v>
      </c>
      <c r="T71" s="28" t="s">
        <v>77</v>
      </c>
      <c r="U71" s="28" t="s">
        <v>84</v>
      </c>
      <c r="V71" s="29"/>
      <c r="W71" s="67"/>
    </row>
    <row r="72" spans="1:23" ht="21">
      <c r="A72" s="17" t="str">
        <f ca="1">IFERROR(__xludf.DUMMYFUNCTION("""COMPUTED_VALUE"""),"GCSE")</f>
        <v>GCSE</v>
      </c>
      <c r="B72" s="17">
        <f ca="1">IFERROR(__xludf.DUMMYFUNCTION("""COMPUTED_VALUE"""),3)</f>
        <v>3</v>
      </c>
      <c r="C72" s="19" t="str">
        <f ca="1">IFERROR(__xludf.DUMMYFUNCTION("""COMPUTED_VALUE"""),"Programming part 2 - Selection")</f>
        <v>Programming part 2 - Selection</v>
      </c>
      <c r="D72" s="17">
        <f ca="1">IFERROR(__xludf.DUMMYFUNCTION("""COMPUTED_VALUE"""),10)</f>
        <v>10</v>
      </c>
      <c r="E72" s="19" t="str">
        <f ca="1">IFERROR(__xludf.DUMMYFUNCTION("""COMPUTED_VALUE"""),"Describe how Boolean/logical operators can be used in expressions")</f>
        <v>Describe how Boolean/logical operators can be used in expressions</v>
      </c>
      <c r="F72" s="30" t="b">
        <f ca="1">IFERROR(__xludf.DUMMYFUNCTION("""COMPUTED_VALUE"""),TRUE)</f>
        <v>1</v>
      </c>
      <c r="G72" s="26" t="b">
        <f ca="1">IFERROR(__xludf.DUMMYFUNCTION("""COMPUTED_VALUE"""),TRUE)</f>
        <v>1</v>
      </c>
      <c r="H72" s="27"/>
      <c r="I72" s="30"/>
      <c r="J72" s="26"/>
      <c r="K72" s="26"/>
      <c r="L72" s="26"/>
      <c r="M72" s="26"/>
      <c r="N72" s="26"/>
      <c r="O72" s="26"/>
      <c r="P72" s="26"/>
      <c r="Q72" s="26" t="b">
        <f ca="1">IFERROR(__xludf.DUMMYFUNCTION("""COMPUTED_VALUE"""),TRUE)</f>
        <v>1</v>
      </c>
      <c r="R72" s="27"/>
      <c r="S72" s="28" t="s">
        <v>83</v>
      </c>
      <c r="T72" s="28" t="s">
        <v>77</v>
      </c>
      <c r="U72" s="28" t="s">
        <v>84</v>
      </c>
      <c r="V72" s="29"/>
      <c r="W72" s="67"/>
    </row>
    <row r="73" spans="1:23" ht="21">
      <c r="A73" s="17" t="str">
        <f ca="1">IFERROR(__xludf.DUMMYFUNCTION("""COMPUTED_VALUE"""),"GCSE")</f>
        <v>GCSE</v>
      </c>
      <c r="B73" s="17">
        <f ca="1">IFERROR(__xludf.DUMMYFUNCTION("""COMPUTED_VALUE"""),3)</f>
        <v>3</v>
      </c>
      <c r="C73" s="19" t="str">
        <f ca="1">IFERROR(__xludf.DUMMYFUNCTION("""COMPUTED_VALUE"""),"Programming part 2 - Selection")</f>
        <v>Programming part 2 - Selection</v>
      </c>
      <c r="D73" s="17">
        <f ca="1">IFERROR(__xludf.DUMMYFUNCTION("""COMPUTED_VALUE"""),10)</f>
        <v>10</v>
      </c>
      <c r="E73" s="19" t="str">
        <f ca="1">IFERROR(__xludf.DUMMYFUNCTION("""COMPUTED_VALUE"""),"Walkthrough code that use conditions with Boolean/logical operators (AND, OR)")</f>
        <v>Walkthrough code that use conditions with Boolean/logical operators (AND, OR)</v>
      </c>
      <c r="F73" s="30" t="b">
        <f ca="1">IFERROR(__xludf.DUMMYFUNCTION("""COMPUTED_VALUE"""),TRUE)</f>
        <v>1</v>
      </c>
      <c r="G73" s="26" t="b">
        <f ca="1">IFERROR(__xludf.DUMMYFUNCTION("""COMPUTED_VALUE"""),TRUE)</f>
        <v>1</v>
      </c>
      <c r="H73" s="27"/>
      <c r="I73" s="30" t="b">
        <f ca="1">IFERROR(__xludf.DUMMYFUNCTION("""COMPUTED_VALUE"""),TRUE)</f>
        <v>1</v>
      </c>
      <c r="J73" s="26"/>
      <c r="K73" s="26"/>
      <c r="L73" s="26"/>
      <c r="M73" s="26"/>
      <c r="N73" s="26"/>
      <c r="O73" s="26"/>
      <c r="P73" s="26"/>
      <c r="Q73" s="26" t="b">
        <f ca="1">IFERROR(__xludf.DUMMYFUNCTION("""COMPUTED_VALUE"""),TRUE)</f>
        <v>1</v>
      </c>
      <c r="R73" s="27"/>
      <c r="S73" s="28" t="s">
        <v>83</v>
      </c>
      <c r="T73" s="28" t="s">
        <v>77</v>
      </c>
      <c r="U73" s="28" t="s">
        <v>84</v>
      </c>
      <c r="V73" s="29" t="s">
        <v>85</v>
      </c>
      <c r="W73" s="67"/>
    </row>
    <row r="74" spans="1:23" ht="21">
      <c r="A74" s="17" t="str">
        <f ca="1">IFERROR(__xludf.DUMMYFUNCTION("""COMPUTED_VALUE"""),"GCSE")</f>
        <v>GCSE</v>
      </c>
      <c r="B74" s="17">
        <f ca="1">IFERROR(__xludf.DUMMYFUNCTION("""COMPUTED_VALUE"""),3)</f>
        <v>3</v>
      </c>
      <c r="C74" s="19" t="str">
        <f ca="1">IFERROR(__xludf.DUMMYFUNCTION("""COMPUTED_VALUE"""),"Programming part 2 - Selection")</f>
        <v>Programming part 2 - Selection</v>
      </c>
      <c r="D74" s="17">
        <f ca="1">IFERROR(__xludf.DUMMYFUNCTION("""COMPUTED_VALUE"""),10)</f>
        <v>10</v>
      </c>
      <c r="E74" s="19" t="str">
        <f ca="1">IFERROR(__xludf.DUMMYFUNCTION("""COMPUTED_VALUE"""),"Write and use expressions that use Boolean/logical operators (AND, OR)")</f>
        <v>Write and use expressions that use Boolean/logical operators (AND, OR)</v>
      </c>
      <c r="F74" s="30" t="b">
        <f ca="1">IFERROR(__xludf.DUMMYFUNCTION("""COMPUTED_VALUE"""),TRUE)</f>
        <v>1</v>
      </c>
      <c r="G74" s="26" t="b">
        <f ca="1">IFERROR(__xludf.DUMMYFUNCTION("""COMPUTED_VALUE"""),TRUE)</f>
        <v>1</v>
      </c>
      <c r="H74" s="27"/>
      <c r="I74" s="30"/>
      <c r="J74" s="26"/>
      <c r="K74" s="26"/>
      <c r="L74" s="26"/>
      <c r="M74" s="26"/>
      <c r="N74" s="26"/>
      <c r="O74" s="26"/>
      <c r="P74" s="26"/>
      <c r="Q74" s="26" t="b">
        <f ca="1">IFERROR(__xludf.DUMMYFUNCTION("""COMPUTED_VALUE"""),TRUE)</f>
        <v>1</v>
      </c>
      <c r="R74" s="27"/>
      <c r="S74" s="28" t="s">
        <v>83</v>
      </c>
      <c r="T74" s="28" t="s">
        <v>77</v>
      </c>
      <c r="U74" s="28"/>
      <c r="V74" s="29" t="s">
        <v>85</v>
      </c>
      <c r="W74" s="67"/>
    </row>
    <row r="75" spans="1:23" ht="21">
      <c r="A75" s="17" t="str">
        <f ca="1">IFERROR(__xludf.DUMMYFUNCTION("""COMPUTED_VALUE"""),"GCSE")</f>
        <v>GCSE</v>
      </c>
      <c r="B75" s="17">
        <f ca="1">IFERROR(__xludf.DUMMYFUNCTION("""COMPUTED_VALUE"""),3)</f>
        <v>3</v>
      </c>
      <c r="C75" s="19" t="str">
        <f ca="1">IFERROR(__xludf.DUMMYFUNCTION("""COMPUTED_VALUE"""),"Programming part 2 - Selection")</f>
        <v>Programming part 2 - Selection</v>
      </c>
      <c r="D75" s="17">
        <f ca="1">IFERROR(__xludf.DUMMYFUNCTION("""COMPUTED_VALUE"""),11)</f>
        <v>11</v>
      </c>
      <c r="E75" s="19" t="str">
        <f ca="1">IFERROR(__xludf.DUMMYFUNCTION("""COMPUTED_VALUE"""),"Define nested selection")</f>
        <v>Define nested selection</v>
      </c>
      <c r="F75" s="30" t="b">
        <f ca="1">IFERROR(__xludf.DUMMYFUNCTION("""COMPUTED_VALUE"""),TRUE)</f>
        <v>1</v>
      </c>
      <c r="G75" s="26" t="b">
        <f ca="1">IFERROR(__xludf.DUMMYFUNCTION("""COMPUTED_VALUE"""),TRUE)</f>
        <v>1</v>
      </c>
      <c r="H75" s="27"/>
      <c r="I75" s="30"/>
      <c r="J75" s="26"/>
      <c r="K75" s="26"/>
      <c r="L75" s="26"/>
      <c r="M75" s="26"/>
      <c r="N75" s="26"/>
      <c r="O75" s="26"/>
      <c r="P75" s="26"/>
      <c r="Q75" s="26" t="b">
        <f ca="1">IFERROR(__xludf.DUMMYFUNCTION("""COMPUTED_VALUE"""),TRUE)</f>
        <v>1</v>
      </c>
      <c r="R75" s="27"/>
      <c r="S75" s="28" t="s">
        <v>83</v>
      </c>
      <c r="T75" s="28" t="s">
        <v>77</v>
      </c>
      <c r="U75" s="28" t="s">
        <v>84</v>
      </c>
      <c r="V75" s="29" t="s">
        <v>85</v>
      </c>
      <c r="W75" s="67"/>
    </row>
    <row r="76" spans="1:23" ht="21">
      <c r="A76" s="17" t="str">
        <f ca="1">IFERROR(__xludf.DUMMYFUNCTION("""COMPUTED_VALUE"""),"GCSE")</f>
        <v>GCSE</v>
      </c>
      <c r="B76" s="17">
        <f ca="1">IFERROR(__xludf.DUMMYFUNCTION("""COMPUTED_VALUE"""),3)</f>
        <v>3</v>
      </c>
      <c r="C76" s="19" t="str">
        <f ca="1">IFERROR(__xludf.DUMMYFUNCTION("""COMPUTED_VALUE"""),"Programming part 2 - Selection")</f>
        <v>Programming part 2 - Selection</v>
      </c>
      <c r="D76" s="17">
        <f ca="1">IFERROR(__xludf.DUMMYFUNCTION("""COMPUTED_VALUE"""),11)</f>
        <v>11</v>
      </c>
      <c r="E76" s="19" t="str">
        <f ca="1">IFERROR(__xludf.DUMMYFUNCTION("""COMPUTED_VALUE"""),"Modify a program that uses nested selection")</f>
        <v>Modify a program that uses nested selection</v>
      </c>
      <c r="F76" s="30" t="b">
        <f ca="1">IFERROR(__xludf.DUMMYFUNCTION("""COMPUTED_VALUE"""),TRUE)</f>
        <v>1</v>
      </c>
      <c r="G76" s="26" t="b">
        <f ca="1">IFERROR(__xludf.DUMMYFUNCTION("""COMPUTED_VALUE"""),TRUE)</f>
        <v>1</v>
      </c>
      <c r="H76" s="27"/>
      <c r="I76" s="30"/>
      <c r="J76" s="26"/>
      <c r="K76" s="26"/>
      <c r="L76" s="26"/>
      <c r="M76" s="26"/>
      <c r="N76" s="26"/>
      <c r="O76" s="26"/>
      <c r="P76" s="26"/>
      <c r="Q76" s="26" t="b">
        <f ca="1">IFERROR(__xludf.DUMMYFUNCTION("""COMPUTED_VALUE"""),TRUE)</f>
        <v>1</v>
      </c>
      <c r="R76" s="27"/>
      <c r="S76" s="28" t="s">
        <v>83</v>
      </c>
      <c r="T76" s="28" t="s">
        <v>77</v>
      </c>
      <c r="U76" s="28" t="s">
        <v>84</v>
      </c>
      <c r="V76" s="29" t="s">
        <v>85</v>
      </c>
      <c r="W76" s="67"/>
    </row>
    <row r="77" spans="1:23" ht="21">
      <c r="A77" s="17" t="str">
        <f ca="1">IFERROR(__xludf.DUMMYFUNCTION("""COMPUTED_VALUE"""),"GCSE")</f>
        <v>GCSE</v>
      </c>
      <c r="B77" s="17">
        <f ca="1">IFERROR(__xludf.DUMMYFUNCTION("""COMPUTED_VALUE"""),3)</f>
        <v>3</v>
      </c>
      <c r="C77" s="19" t="str">
        <f ca="1">IFERROR(__xludf.DUMMYFUNCTION("""COMPUTED_VALUE"""),"Programming part 2 - Selection")</f>
        <v>Programming part 2 - Selection</v>
      </c>
      <c r="D77" s="17">
        <f ca="1">IFERROR(__xludf.DUMMYFUNCTION("""COMPUTED_VALUE"""),11)</f>
        <v>11</v>
      </c>
      <c r="E77" s="19" t="str">
        <f ca="1">IFERROR(__xludf.DUMMYFUNCTION("""COMPUTED_VALUE"""),"Walk through code that uses nested selection")</f>
        <v>Walk through code that uses nested selection</v>
      </c>
      <c r="F77" s="30" t="b">
        <f ca="1">IFERROR(__xludf.DUMMYFUNCTION("""COMPUTED_VALUE"""),TRUE)</f>
        <v>1</v>
      </c>
      <c r="G77" s="26" t="b">
        <f ca="1">IFERROR(__xludf.DUMMYFUNCTION("""COMPUTED_VALUE"""),TRUE)</f>
        <v>1</v>
      </c>
      <c r="H77" s="27"/>
      <c r="I77" s="30" t="b">
        <f ca="1">IFERROR(__xludf.DUMMYFUNCTION("""COMPUTED_VALUE"""),TRUE)</f>
        <v>1</v>
      </c>
      <c r="J77" s="26"/>
      <c r="K77" s="26"/>
      <c r="L77" s="26"/>
      <c r="M77" s="26"/>
      <c r="N77" s="26"/>
      <c r="O77" s="26"/>
      <c r="P77" s="26"/>
      <c r="Q77" s="26" t="b">
        <f ca="1">IFERROR(__xludf.DUMMYFUNCTION("""COMPUTED_VALUE"""),TRUE)</f>
        <v>1</v>
      </c>
      <c r="R77" s="27"/>
      <c r="S77" s="28" t="s">
        <v>83</v>
      </c>
      <c r="T77" s="28" t="s">
        <v>77</v>
      </c>
      <c r="U77" s="28" t="s">
        <v>84</v>
      </c>
      <c r="V77" s="29" t="s">
        <v>85</v>
      </c>
      <c r="W77" s="67"/>
    </row>
    <row r="78" spans="1:23" ht="21">
      <c r="A78" s="17" t="str">
        <f ca="1">IFERROR(__xludf.DUMMYFUNCTION("""COMPUTED_VALUE"""),"GCSE")</f>
        <v>GCSE</v>
      </c>
      <c r="B78" s="17">
        <f ca="1">IFERROR(__xludf.DUMMYFUNCTION("""COMPUTED_VALUE"""),4)</f>
        <v>4</v>
      </c>
      <c r="C78" s="19" t="str">
        <f ca="1">IFERROR(__xludf.DUMMYFUNCTION("""COMPUTED_VALUE"""),"Programming part 3 - Iteration")</f>
        <v>Programming part 3 - Iteration</v>
      </c>
      <c r="D78" s="17">
        <f ca="1">IFERROR(__xludf.DUMMYFUNCTION("""COMPUTED_VALUE"""),12)</f>
        <v>12</v>
      </c>
      <c r="E78" s="19" t="str">
        <f ca="1">IFERROR(__xludf.DUMMYFUNCTION("""COMPUTED_VALUE"""),"Define iteration as a group of instructions that are repeatedly executed")</f>
        <v>Define iteration as a group of instructions that are repeatedly executed</v>
      </c>
      <c r="F78" s="30" t="b">
        <f ca="1">IFERROR(__xludf.DUMMYFUNCTION("""COMPUTED_VALUE"""),TRUE)</f>
        <v>1</v>
      </c>
      <c r="G78" s="26" t="b">
        <f ca="1">IFERROR(__xludf.DUMMYFUNCTION("""COMPUTED_VALUE"""),TRUE)</f>
        <v>1</v>
      </c>
      <c r="H78" s="27"/>
      <c r="I78" s="30" t="b">
        <f ca="1">IFERROR(__xludf.DUMMYFUNCTION("""COMPUTED_VALUE"""),TRUE)</f>
        <v>1</v>
      </c>
      <c r="J78" s="26"/>
      <c r="K78" s="26"/>
      <c r="L78" s="26"/>
      <c r="M78" s="26"/>
      <c r="N78" s="26"/>
      <c r="O78" s="26"/>
      <c r="P78" s="26"/>
      <c r="Q78" s="26" t="b">
        <f ca="1">IFERROR(__xludf.DUMMYFUNCTION("""COMPUTED_VALUE"""),TRUE)</f>
        <v>1</v>
      </c>
      <c r="R78" s="27"/>
      <c r="S78" s="28" t="s">
        <v>83</v>
      </c>
      <c r="T78" s="28" t="s">
        <v>77</v>
      </c>
      <c r="U78" s="28" t="s">
        <v>84</v>
      </c>
      <c r="V78" s="29" t="s">
        <v>85</v>
      </c>
      <c r="W78" s="67"/>
    </row>
    <row r="79" spans="1:23" ht="21">
      <c r="A79" s="17" t="str">
        <f ca="1">IFERROR(__xludf.DUMMYFUNCTION("""COMPUTED_VALUE"""),"GCSE")</f>
        <v>GCSE</v>
      </c>
      <c r="B79" s="17">
        <f ca="1">IFERROR(__xludf.DUMMYFUNCTION("""COMPUTED_VALUE"""),4)</f>
        <v>4</v>
      </c>
      <c r="C79" s="19" t="str">
        <f ca="1">IFERROR(__xludf.DUMMYFUNCTION("""COMPUTED_VALUE"""),"Programming part 3 - Iteration")</f>
        <v>Programming part 3 - Iteration</v>
      </c>
      <c r="D79" s="17">
        <f ca="1">IFERROR(__xludf.DUMMYFUNCTION("""COMPUTED_VALUE"""),12)</f>
        <v>12</v>
      </c>
      <c r="E79" s="19" t="str">
        <f ca="1">IFERROR(__xludf.DUMMYFUNCTION("""COMPUTED_VALUE"""),"Modify a program to incorporate a while loop")</f>
        <v>Modify a program to incorporate a while loop</v>
      </c>
      <c r="F79" s="30" t="b">
        <f ca="1">IFERROR(__xludf.DUMMYFUNCTION("""COMPUTED_VALUE"""),TRUE)</f>
        <v>1</v>
      </c>
      <c r="G79" s="26" t="b">
        <f ca="1">IFERROR(__xludf.DUMMYFUNCTION("""COMPUTED_VALUE"""),TRUE)</f>
        <v>1</v>
      </c>
      <c r="H79" s="27"/>
      <c r="I79" s="30"/>
      <c r="J79" s="26"/>
      <c r="K79" s="26"/>
      <c r="L79" s="26"/>
      <c r="M79" s="26"/>
      <c r="N79" s="26"/>
      <c r="O79" s="26"/>
      <c r="P79" s="26"/>
      <c r="Q79" s="26" t="b">
        <f ca="1">IFERROR(__xludf.DUMMYFUNCTION("""COMPUTED_VALUE"""),TRUE)</f>
        <v>1</v>
      </c>
      <c r="R79" s="27"/>
      <c r="S79" s="28" t="s">
        <v>83</v>
      </c>
      <c r="T79" s="28" t="s">
        <v>77</v>
      </c>
      <c r="U79" s="28" t="s">
        <v>84</v>
      </c>
      <c r="V79" s="29" t="s">
        <v>85</v>
      </c>
      <c r="W79" s="67"/>
    </row>
    <row r="80" spans="1:23" ht="21">
      <c r="A80" s="17" t="str">
        <f ca="1">IFERROR(__xludf.DUMMYFUNCTION("""COMPUTED_VALUE"""),"GCSE")</f>
        <v>GCSE</v>
      </c>
      <c r="B80" s="17">
        <f ca="1">IFERROR(__xludf.DUMMYFUNCTION("""COMPUTED_VALUE"""),4)</f>
        <v>4</v>
      </c>
      <c r="C80" s="19" t="str">
        <f ca="1">IFERROR(__xludf.DUMMYFUNCTION("""COMPUTED_VALUE"""),"Programming part 3 - Iteration")</f>
        <v>Programming part 3 - Iteration</v>
      </c>
      <c r="D80" s="17">
        <f ca="1">IFERROR(__xludf.DUMMYFUNCTION("""COMPUTED_VALUE"""),13)</f>
        <v>13</v>
      </c>
      <c r="E80" s="19" t="str">
        <f ca="1">IFERROR(__xludf.DUMMYFUNCTION("""COMPUTED_VALUE"""),"Use a trace table to detect and correct errors in programs")</f>
        <v>Use a trace table to detect and correct errors in programs</v>
      </c>
      <c r="F80" s="30" t="b">
        <f ca="1">IFERROR(__xludf.DUMMYFUNCTION("""COMPUTED_VALUE"""),TRUE)</f>
        <v>1</v>
      </c>
      <c r="G80" s="26" t="b">
        <f ca="1">IFERROR(__xludf.DUMMYFUNCTION("""COMPUTED_VALUE"""),TRUE)</f>
        <v>1</v>
      </c>
      <c r="H80" s="27"/>
      <c r="I80" s="30" t="b">
        <f ca="1">IFERROR(__xludf.DUMMYFUNCTION("""COMPUTED_VALUE"""),TRUE)</f>
        <v>1</v>
      </c>
      <c r="J80" s="26"/>
      <c r="K80" s="26"/>
      <c r="L80" s="26"/>
      <c r="M80" s="26"/>
      <c r="N80" s="26"/>
      <c r="O80" s="26"/>
      <c r="P80" s="26"/>
      <c r="Q80" s="26" t="b">
        <f ca="1">IFERROR(__xludf.DUMMYFUNCTION("""COMPUTED_VALUE"""),TRUE)</f>
        <v>1</v>
      </c>
      <c r="R80" s="27"/>
      <c r="S80" s="28"/>
      <c r="T80" s="28" t="s">
        <v>77</v>
      </c>
      <c r="U80" s="28" t="s">
        <v>84</v>
      </c>
      <c r="V80" s="29" t="s">
        <v>85</v>
      </c>
      <c r="W80" s="67"/>
    </row>
    <row r="81" spans="1:23" ht="21">
      <c r="A81" s="17" t="str">
        <f ca="1">IFERROR(__xludf.DUMMYFUNCTION("""COMPUTED_VALUE"""),"GCSE")</f>
        <v>GCSE</v>
      </c>
      <c r="B81" s="17">
        <f ca="1">IFERROR(__xludf.DUMMYFUNCTION("""COMPUTED_VALUE"""),4)</f>
        <v>4</v>
      </c>
      <c r="C81" s="19" t="str">
        <f ca="1">IFERROR(__xludf.DUMMYFUNCTION("""COMPUTED_VALUE"""),"Programming part 3 - Iteration")</f>
        <v>Programming part 3 - Iteration</v>
      </c>
      <c r="D81" s="17">
        <f ca="1">IFERROR(__xludf.DUMMYFUNCTION("""COMPUTED_VALUE"""),13)</f>
        <v>13</v>
      </c>
      <c r="E81" s="19" t="str">
        <f ca="1">IFERROR(__xludf.DUMMYFUNCTION("""COMPUTED_VALUE"""),"Use a trace table to walkthrough code that uses a while loop")</f>
        <v>Use a trace table to walkthrough code that uses a while loop</v>
      </c>
      <c r="F81" s="30" t="b">
        <f ca="1">IFERROR(__xludf.DUMMYFUNCTION("""COMPUTED_VALUE"""),TRUE)</f>
        <v>1</v>
      </c>
      <c r="G81" s="26" t="b">
        <f ca="1">IFERROR(__xludf.DUMMYFUNCTION("""COMPUTED_VALUE"""),TRUE)</f>
        <v>1</v>
      </c>
      <c r="H81" s="27"/>
      <c r="I81" s="30" t="b">
        <f ca="1">IFERROR(__xludf.DUMMYFUNCTION("""COMPUTED_VALUE"""),TRUE)</f>
        <v>1</v>
      </c>
      <c r="J81" s="26"/>
      <c r="K81" s="26"/>
      <c r="L81" s="26"/>
      <c r="M81" s="26"/>
      <c r="N81" s="26"/>
      <c r="O81" s="26"/>
      <c r="P81" s="26"/>
      <c r="Q81" s="26" t="b">
        <f ca="1">IFERROR(__xludf.DUMMYFUNCTION("""COMPUTED_VALUE"""),TRUE)</f>
        <v>1</v>
      </c>
      <c r="R81" s="27"/>
      <c r="S81" s="28" t="s">
        <v>83</v>
      </c>
      <c r="T81" s="28" t="s">
        <v>77</v>
      </c>
      <c r="U81" s="28" t="s">
        <v>84</v>
      </c>
      <c r="V81" s="29" t="s">
        <v>85</v>
      </c>
      <c r="W81" s="67"/>
    </row>
    <row r="82" spans="1:23" ht="21">
      <c r="A82" s="17" t="str">
        <f ca="1">IFERROR(__xludf.DUMMYFUNCTION("""COMPUTED_VALUE"""),"GCSE")</f>
        <v>GCSE</v>
      </c>
      <c r="B82" s="17">
        <f ca="1">IFERROR(__xludf.DUMMYFUNCTION("""COMPUTED_VALUE"""),4)</f>
        <v>4</v>
      </c>
      <c r="C82" s="19" t="str">
        <f ca="1">IFERROR(__xludf.DUMMYFUNCTION("""COMPUTED_VALUE"""),"Programming part 3 - Iteration")</f>
        <v>Programming part 3 - Iteration</v>
      </c>
      <c r="D82" s="17">
        <f ca="1">IFERROR(__xludf.DUMMYFUNCTION("""COMPUTED_VALUE"""),14)</f>
        <v>14</v>
      </c>
      <c r="E82" s="19" t="str">
        <f ca="1">IFERROR(__xludf.DUMMYFUNCTION("""COMPUTED_VALUE"""),"Compare a while loop and a for loop")</f>
        <v>Compare a while loop and a for loop</v>
      </c>
      <c r="F82" s="30" t="b">
        <f ca="1">IFERROR(__xludf.DUMMYFUNCTION("""COMPUTED_VALUE"""),TRUE)</f>
        <v>1</v>
      </c>
      <c r="G82" s="26" t="b">
        <f ca="1">IFERROR(__xludf.DUMMYFUNCTION("""COMPUTED_VALUE"""),TRUE)</f>
        <v>1</v>
      </c>
      <c r="H82" s="27"/>
      <c r="I82" s="30" t="b">
        <f ca="1">IFERROR(__xludf.DUMMYFUNCTION("""COMPUTED_VALUE"""),TRUE)</f>
        <v>1</v>
      </c>
      <c r="J82" s="26"/>
      <c r="K82" s="26"/>
      <c r="L82" s="26" t="b">
        <f ca="1">IFERROR(__xludf.DUMMYFUNCTION("""COMPUTED_VALUE"""),TRUE)</f>
        <v>1</v>
      </c>
      <c r="M82" s="26"/>
      <c r="N82" s="26"/>
      <c r="O82" s="26"/>
      <c r="P82" s="26"/>
      <c r="Q82" s="26" t="b">
        <f ca="1">IFERROR(__xludf.DUMMYFUNCTION("""COMPUTED_VALUE"""),TRUE)</f>
        <v>1</v>
      </c>
      <c r="R82" s="27"/>
      <c r="S82" s="28" t="s">
        <v>83</v>
      </c>
      <c r="T82" s="28" t="s">
        <v>77</v>
      </c>
      <c r="U82" s="28" t="s">
        <v>84</v>
      </c>
      <c r="V82" s="29" t="s">
        <v>85</v>
      </c>
      <c r="W82" s="67"/>
    </row>
    <row r="83" spans="1:23" ht="21">
      <c r="A83" s="17" t="str">
        <f ca="1">IFERROR(__xludf.DUMMYFUNCTION("""COMPUTED_VALUE"""),"GCSE")</f>
        <v>GCSE</v>
      </c>
      <c r="B83" s="17">
        <f ca="1">IFERROR(__xludf.DUMMYFUNCTION("""COMPUTED_VALUE"""),4)</f>
        <v>4</v>
      </c>
      <c r="C83" s="19" t="str">
        <f ca="1">IFERROR(__xludf.DUMMYFUNCTION("""COMPUTED_VALUE"""),"Programming part 3 - Iteration")</f>
        <v>Programming part 3 - Iteration</v>
      </c>
      <c r="D83" s="17">
        <f ca="1">IFERROR(__xludf.DUMMYFUNCTION("""COMPUTED_VALUE"""),14)</f>
        <v>14</v>
      </c>
      <c r="E83" s="19" t="str">
        <f ca="1">IFERROR(__xludf.DUMMYFUNCTION("""COMPUTED_VALUE"""),"Define a for loop")</f>
        <v>Define a for loop</v>
      </c>
      <c r="F83" s="30" t="b">
        <f ca="1">IFERROR(__xludf.DUMMYFUNCTION("""COMPUTED_VALUE"""),TRUE)</f>
        <v>1</v>
      </c>
      <c r="G83" s="26" t="b">
        <f ca="1">IFERROR(__xludf.DUMMYFUNCTION("""COMPUTED_VALUE"""),TRUE)</f>
        <v>1</v>
      </c>
      <c r="H83" s="27"/>
      <c r="I83" s="30"/>
      <c r="J83" s="26"/>
      <c r="K83" s="26"/>
      <c r="L83" s="26"/>
      <c r="M83" s="26"/>
      <c r="N83" s="26"/>
      <c r="O83" s="26"/>
      <c r="P83" s="26"/>
      <c r="Q83" s="26" t="b">
        <f ca="1">IFERROR(__xludf.DUMMYFUNCTION("""COMPUTED_VALUE"""),TRUE)</f>
        <v>1</v>
      </c>
      <c r="R83" s="27"/>
      <c r="S83" s="28" t="s">
        <v>83</v>
      </c>
      <c r="T83" s="28" t="s">
        <v>77</v>
      </c>
      <c r="U83" s="28" t="s">
        <v>84</v>
      </c>
      <c r="V83" s="29" t="s">
        <v>85</v>
      </c>
      <c r="W83" s="67"/>
    </row>
    <row r="84" spans="1:23" ht="21">
      <c r="A84" s="17" t="str">
        <f ca="1">IFERROR(__xludf.DUMMYFUNCTION("""COMPUTED_VALUE"""),"GCSE")</f>
        <v>GCSE</v>
      </c>
      <c r="B84" s="17">
        <f ca="1">IFERROR(__xludf.DUMMYFUNCTION("""COMPUTED_VALUE"""),4)</f>
        <v>4</v>
      </c>
      <c r="C84" s="19" t="str">
        <f ca="1">IFERROR(__xludf.DUMMYFUNCTION("""COMPUTED_VALUE"""),"Programming part 3 - Iteration")</f>
        <v>Programming part 3 - Iteration</v>
      </c>
      <c r="D84" s="17">
        <f ca="1">IFERROR(__xludf.DUMMYFUNCTION("""COMPUTED_VALUE"""),14)</f>
        <v>14</v>
      </c>
      <c r="E84" s="19" t="str">
        <f ca="1">IFERROR(__xludf.DUMMYFUNCTION("""COMPUTED_VALUE"""),"Modify a program that uses a for loop")</f>
        <v>Modify a program that uses a for loop</v>
      </c>
      <c r="F84" s="30" t="b">
        <f ca="1">IFERROR(__xludf.DUMMYFUNCTION("""COMPUTED_VALUE"""),TRUE)</f>
        <v>1</v>
      </c>
      <c r="G84" s="26" t="b">
        <f ca="1">IFERROR(__xludf.DUMMYFUNCTION("""COMPUTED_VALUE"""),TRUE)</f>
        <v>1</v>
      </c>
      <c r="H84" s="27"/>
      <c r="I84" s="30"/>
      <c r="J84" s="26"/>
      <c r="K84" s="26"/>
      <c r="L84" s="26"/>
      <c r="M84" s="26"/>
      <c r="N84" s="26"/>
      <c r="O84" s="26"/>
      <c r="P84" s="26"/>
      <c r="Q84" s="26" t="b">
        <f ca="1">IFERROR(__xludf.DUMMYFUNCTION("""COMPUTED_VALUE"""),TRUE)</f>
        <v>1</v>
      </c>
      <c r="R84" s="27"/>
      <c r="S84" s="28" t="s">
        <v>83</v>
      </c>
      <c r="T84" s="28"/>
      <c r="U84" s="28" t="s">
        <v>84</v>
      </c>
      <c r="V84" s="29" t="s">
        <v>85</v>
      </c>
      <c r="W84" s="67"/>
    </row>
    <row r="85" spans="1:23" ht="21">
      <c r="A85" s="17" t="str">
        <f ca="1">IFERROR(__xludf.DUMMYFUNCTION("""COMPUTED_VALUE"""),"GCSE")</f>
        <v>GCSE</v>
      </c>
      <c r="B85" s="17">
        <f ca="1">IFERROR(__xludf.DUMMYFUNCTION("""COMPUTED_VALUE"""),4)</f>
        <v>4</v>
      </c>
      <c r="C85" s="19" t="str">
        <f ca="1">IFERROR(__xludf.DUMMYFUNCTION("""COMPUTED_VALUE"""),"Programming part 3 - Iteration")</f>
        <v>Programming part 3 - Iteration</v>
      </c>
      <c r="D85" s="17">
        <f ca="1">IFERROR(__xludf.DUMMYFUNCTION("""COMPUTED_VALUE"""),14)</f>
        <v>14</v>
      </c>
      <c r="E85" s="19" t="str">
        <f ca="1">IFERROR(__xludf.DUMMYFUNCTION("""COMPUTED_VALUE"""),"Walk through code that uses a for loop")</f>
        <v>Walk through code that uses a for loop</v>
      </c>
      <c r="F85" s="30" t="b">
        <f ca="1">IFERROR(__xludf.DUMMYFUNCTION("""COMPUTED_VALUE"""),TRUE)</f>
        <v>1</v>
      </c>
      <c r="G85" s="26" t="b">
        <f ca="1">IFERROR(__xludf.DUMMYFUNCTION("""COMPUTED_VALUE"""),TRUE)</f>
        <v>1</v>
      </c>
      <c r="H85" s="27"/>
      <c r="I85" s="30" t="b">
        <f ca="1">IFERROR(__xludf.DUMMYFUNCTION("""COMPUTED_VALUE"""),TRUE)</f>
        <v>1</v>
      </c>
      <c r="J85" s="26"/>
      <c r="K85" s="26"/>
      <c r="L85" s="26"/>
      <c r="M85" s="26"/>
      <c r="N85" s="26"/>
      <c r="O85" s="26"/>
      <c r="P85" s="26"/>
      <c r="Q85" s="26" t="b">
        <f ca="1">IFERROR(__xludf.DUMMYFUNCTION("""COMPUTED_VALUE"""),TRUE)</f>
        <v>1</v>
      </c>
      <c r="R85" s="27"/>
      <c r="S85" s="28" t="s">
        <v>83</v>
      </c>
      <c r="T85" s="28" t="s">
        <v>77</v>
      </c>
      <c r="U85" s="28" t="s">
        <v>84</v>
      </c>
      <c r="V85" s="29" t="s">
        <v>85</v>
      </c>
      <c r="W85" s="67"/>
    </row>
    <row r="86" spans="1:23" ht="21">
      <c r="A86" s="17" t="str">
        <f ca="1">IFERROR(__xludf.DUMMYFUNCTION("""COMPUTED_VALUE"""),"GCSE")</f>
        <v>GCSE</v>
      </c>
      <c r="B86" s="17">
        <f ca="1">IFERROR(__xludf.DUMMYFUNCTION("""COMPUTED_VALUE"""),4)</f>
        <v>4</v>
      </c>
      <c r="C86" s="19" t="str">
        <f ca="1">IFERROR(__xludf.DUMMYFUNCTION("""COMPUTED_VALUE"""),"Programming part 3 - Iteration")</f>
        <v>Programming part 3 - Iteration</v>
      </c>
      <c r="D86" s="17">
        <f ca="1">IFERROR(__xludf.DUMMYFUNCTION("""COMPUTED_VALUE"""),15)</f>
        <v>15</v>
      </c>
      <c r="E86" s="19" t="str">
        <f ca="1">IFERROR(__xludf.DUMMYFUNCTION("""COMPUTED_VALUE"""),"Determine the need for validation checks")</f>
        <v>Determine the need for validation checks</v>
      </c>
      <c r="F86" s="30" t="b">
        <f ca="1">IFERROR(__xludf.DUMMYFUNCTION("""COMPUTED_VALUE"""),TRUE)</f>
        <v>1</v>
      </c>
      <c r="G86" s="26" t="b">
        <f ca="1">IFERROR(__xludf.DUMMYFUNCTION("""COMPUTED_VALUE"""),TRUE)</f>
        <v>1</v>
      </c>
      <c r="H86" s="27"/>
      <c r="I86" s="30" t="b">
        <f ca="1">IFERROR(__xludf.DUMMYFUNCTION("""COMPUTED_VALUE"""),TRUE)</f>
        <v>1</v>
      </c>
      <c r="J86" s="26"/>
      <c r="K86" s="26"/>
      <c r="L86" s="26"/>
      <c r="M86" s="26"/>
      <c r="N86" s="26"/>
      <c r="O86" s="26"/>
      <c r="P86" s="26"/>
      <c r="Q86" s="26" t="b">
        <f ca="1">IFERROR(__xludf.DUMMYFUNCTION("""COMPUTED_VALUE"""),TRUE)</f>
        <v>1</v>
      </c>
      <c r="R86" s="27"/>
      <c r="S86" s="28"/>
      <c r="T86" s="28"/>
      <c r="U86" s="28" t="s">
        <v>84</v>
      </c>
      <c r="V86" s="29" t="s">
        <v>85</v>
      </c>
      <c r="W86" s="67"/>
    </row>
    <row r="87" spans="1:23" ht="21">
      <c r="A87" s="17" t="str">
        <f ca="1">IFERROR(__xludf.DUMMYFUNCTION("""COMPUTED_VALUE"""),"GCSE")</f>
        <v>GCSE</v>
      </c>
      <c r="B87" s="17">
        <f ca="1">IFERROR(__xludf.DUMMYFUNCTION("""COMPUTED_VALUE"""),4)</f>
        <v>4</v>
      </c>
      <c r="C87" s="19" t="str">
        <f ca="1">IFERROR(__xludf.DUMMYFUNCTION("""COMPUTED_VALUE"""),"Programming part 3 - Iteration")</f>
        <v>Programming part 3 - Iteration</v>
      </c>
      <c r="D87" s="17">
        <f ca="1">IFERROR(__xludf.DUMMYFUNCTION("""COMPUTED_VALUE"""),15)</f>
        <v>15</v>
      </c>
      <c r="E87" s="19" t="str">
        <f ca="1">IFERROR(__xludf.DUMMYFUNCTION("""COMPUTED_VALUE"""),"Use iteration to perform validation checks")</f>
        <v>Use iteration to perform validation checks</v>
      </c>
      <c r="F87" s="30" t="b">
        <f ca="1">IFERROR(__xludf.DUMMYFUNCTION("""COMPUTED_VALUE"""),TRUE)</f>
        <v>1</v>
      </c>
      <c r="G87" s="26" t="b">
        <f ca="1">IFERROR(__xludf.DUMMYFUNCTION("""COMPUTED_VALUE"""),TRUE)</f>
        <v>1</v>
      </c>
      <c r="H87" s="27"/>
      <c r="I87" s="30"/>
      <c r="J87" s="26"/>
      <c r="K87" s="26"/>
      <c r="L87" s="26"/>
      <c r="M87" s="26"/>
      <c r="N87" s="26"/>
      <c r="O87" s="26"/>
      <c r="P87" s="26"/>
      <c r="Q87" s="26" t="b">
        <f ca="1">IFERROR(__xludf.DUMMYFUNCTION("""COMPUTED_VALUE"""),TRUE)</f>
        <v>1</v>
      </c>
      <c r="R87" s="27"/>
      <c r="S87" s="28" t="s">
        <v>83</v>
      </c>
      <c r="T87" s="28" t="s">
        <v>77</v>
      </c>
      <c r="U87" s="28" t="s">
        <v>84</v>
      </c>
      <c r="V87" s="29" t="s">
        <v>85</v>
      </c>
      <c r="W87" s="67"/>
    </row>
    <row r="88" spans="1:23" ht="21">
      <c r="A88" s="17" t="str">
        <f ca="1">IFERROR(__xludf.DUMMYFUNCTION("""COMPUTED_VALUE"""),"GCSE")</f>
        <v>GCSE</v>
      </c>
      <c r="B88" s="17">
        <f ca="1">IFERROR(__xludf.DUMMYFUNCTION("""COMPUTED_VALUE"""),4)</f>
        <v>4</v>
      </c>
      <c r="C88" s="19" t="str">
        <f ca="1">IFERROR(__xludf.DUMMYFUNCTION("""COMPUTED_VALUE"""),"Programming part 3 - Iteration")</f>
        <v>Programming part 3 - Iteration</v>
      </c>
      <c r="D88" s="17">
        <f ca="1">IFERROR(__xludf.DUMMYFUNCTION("""COMPUTED_VALUE"""),16)</f>
        <v>16</v>
      </c>
      <c r="E88" s="19" t="str">
        <f ca="1">IFERROR(__xludf.DUMMYFUNCTION("""COMPUTED_VALUE"""),"Describe the purpose of pseudocode")</f>
        <v>Describe the purpose of pseudocode</v>
      </c>
      <c r="F88" s="30" t="b">
        <f ca="1">IFERROR(__xludf.DUMMYFUNCTION("""COMPUTED_VALUE"""),TRUE)</f>
        <v>1</v>
      </c>
      <c r="G88" s="26" t="b">
        <f ca="1">IFERROR(__xludf.DUMMYFUNCTION("""COMPUTED_VALUE"""),TRUE)</f>
        <v>1</v>
      </c>
      <c r="H88" s="27"/>
      <c r="I88" s="30" t="b">
        <f ca="1">IFERROR(__xludf.DUMMYFUNCTION("""COMPUTED_VALUE"""),TRUE)</f>
        <v>1</v>
      </c>
      <c r="J88" s="26"/>
      <c r="K88" s="26"/>
      <c r="L88" s="26"/>
      <c r="M88" s="26"/>
      <c r="N88" s="26"/>
      <c r="O88" s="26"/>
      <c r="P88" s="26"/>
      <c r="Q88" s="26" t="b">
        <f ca="1">IFERROR(__xludf.DUMMYFUNCTION("""COMPUTED_VALUE"""),TRUE)</f>
        <v>1</v>
      </c>
      <c r="R88" s="27"/>
      <c r="S88" s="28" t="s">
        <v>83</v>
      </c>
      <c r="T88" s="28" t="s">
        <v>77</v>
      </c>
      <c r="U88" s="28" t="s">
        <v>84</v>
      </c>
      <c r="V88" s="29" t="s">
        <v>85</v>
      </c>
      <c r="W88" s="67"/>
    </row>
    <row r="89" spans="1:23" ht="21">
      <c r="A89" s="17" t="str">
        <f ca="1">IFERROR(__xludf.DUMMYFUNCTION("""COMPUTED_VALUE"""),"GCSE")</f>
        <v>GCSE</v>
      </c>
      <c r="B89" s="17">
        <f ca="1">IFERROR(__xludf.DUMMYFUNCTION("""COMPUTED_VALUE"""),4)</f>
        <v>4</v>
      </c>
      <c r="C89" s="19" t="str">
        <f ca="1">IFERROR(__xludf.DUMMYFUNCTION("""COMPUTED_VALUE"""),"Programming part 3 - Iteration")</f>
        <v>Programming part 3 - Iteration</v>
      </c>
      <c r="D89" s="17">
        <f ca="1">IFERROR(__xludf.DUMMYFUNCTION("""COMPUTED_VALUE"""),16)</f>
        <v>16</v>
      </c>
      <c r="E89" s="19" t="str">
        <f ca="1">IFERROR(__xludf.DUMMYFUNCTION("""COMPUTED_VALUE"""),"Design and build a program using pseudocode")</f>
        <v>Design and build a program using pseudocode</v>
      </c>
      <c r="F89" s="30" t="b">
        <f ca="1">IFERROR(__xludf.DUMMYFUNCTION("""COMPUTED_VALUE"""),TRUE)</f>
        <v>1</v>
      </c>
      <c r="G89" s="26" t="b">
        <f ca="1">IFERROR(__xludf.DUMMYFUNCTION("""COMPUTED_VALUE"""),TRUE)</f>
        <v>1</v>
      </c>
      <c r="H89" s="27"/>
      <c r="I89" s="30" t="b">
        <f ca="1">IFERROR(__xludf.DUMMYFUNCTION("""COMPUTED_VALUE"""),TRUE)</f>
        <v>1</v>
      </c>
      <c r="J89" s="26"/>
      <c r="K89" s="26"/>
      <c r="L89" s="26" t="b">
        <f ca="1">IFERROR(__xludf.DUMMYFUNCTION("""COMPUTED_VALUE"""),TRUE)</f>
        <v>1</v>
      </c>
      <c r="M89" s="26"/>
      <c r="N89" s="26"/>
      <c r="O89" s="26"/>
      <c r="P89" s="26"/>
      <c r="Q89" s="26" t="b">
        <f ca="1">IFERROR(__xludf.DUMMYFUNCTION("""COMPUTED_VALUE"""),TRUE)</f>
        <v>1</v>
      </c>
      <c r="R89" s="27"/>
      <c r="S89" s="28" t="s">
        <v>83</v>
      </c>
      <c r="T89" s="28" t="s">
        <v>77</v>
      </c>
      <c r="U89" s="28"/>
      <c r="V89" s="29" t="s">
        <v>85</v>
      </c>
      <c r="W89" s="67"/>
    </row>
    <row r="90" spans="1:23" ht="21">
      <c r="A90" s="17" t="str">
        <f ca="1">IFERROR(__xludf.DUMMYFUNCTION("""COMPUTED_VALUE"""),"GCSE")</f>
        <v>GCSE</v>
      </c>
      <c r="B90" s="17">
        <f ca="1">IFERROR(__xludf.DUMMYFUNCTION("""COMPUTED_VALUE"""),4)</f>
        <v>4</v>
      </c>
      <c r="C90" s="19" t="str">
        <f ca="1">IFERROR(__xludf.DUMMYFUNCTION("""COMPUTED_VALUE"""),"Programming part 3 - Iteration")</f>
        <v>Programming part 3 - Iteration</v>
      </c>
      <c r="D90" s="17">
        <f ca="1">IFERROR(__xludf.DUMMYFUNCTION("""COMPUTED_VALUE"""),16)</f>
        <v>16</v>
      </c>
      <c r="E90" s="19" t="str">
        <f ca="1">IFERROR(__xludf.DUMMYFUNCTION("""COMPUTED_VALUE"""),"Translate pseudocode into a program")</f>
        <v>Translate pseudocode into a program</v>
      </c>
      <c r="F90" s="30" t="b">
        <f ca="1">IFERROR(__xludf.DUMMYFUNCTION("""COMPUTED_VALUE"""),TRUE)</f>
        <v>1</v>
      </c>
      <c r="G90" s="26" t="b">
        <f ca="1">IFERROR(__xludf.DUMMYFUNCTION("""COMPUTED_VALUE"""),TRUE)</f>
        <v>1</v>
      </c>
      <c r="H90" s="27"/>
      <c r="I90" s="30" t="b">
        <f ca="1">IFERROR(__xludf.DUMMYFUNCTION("""COMPUTED_VALUE"""),TRUE)</f>
        <v>1</v>
      </c>
      <c r="J90" s="26"/>
      <c r="K90" s="26"/>
      <c r="L90" s="26"/>
      <c r="M90" s="26"/>
      <c r="N90" s="26"/>
      <c r="O90" s="26"/>
      <c r="P90" s="26"/>
      <c r="Q90" s="26" t="b">
        <f ca="1">IFERROR(__xludf.DUMMYFUNCTION("""COMPUTED_VALUE"""),TRUE)</f>
        <v>1</v>
      </c>
      <c r="R90" s="27"/>
      <c r="S90" s="28"/>
      <c r="T90" s="28" t="s">
        <v>77</v>
      </c>
      <c r="U90" s="28" t="s">
        <v>84</v>
      </c>
      <c r="V90" s="29"/>
      <c r="W90" s="67"/>
    </row>
    <row r="91" spans="1:23" ht="28">
      <c r="A91" s="17" t="str">
        <f ca="1">IFERROR(__xludf.DUMMYFUNCTION("""COMPUTED_VALUE"""),"GCSE")</f>
        <v>GCSE</v>
      </c>
      <c r="B91" s="17">
        <f ca="1">IFERROR(__xludf.DUMMYFUNCTION("""COMPUTED_VALUE"""),5)</f>
        <v>5</v>
      </c>
      <c r="C91" s="19" t="str">
        <f ca="1">IFERROR(__xludf.DUMMYFUNCTION("""COMPUTED_VALUE"""),"Programming part 4 - Subroutines")</f>
        <v>Programming part 4 - Subroutines</v>
      </c>
      <c r="D91" s="17">
        <f ca="1">IFERROR(__xludf.DUMMYFUNCTION("""COMPUTED_VALUE"""),18)</f>
        <v>18</v>
      </c>
      <c r="E91" s="19" t="str">
        <f ca="1">IFERROR(__xludf.DUMMYFUNCTION("""COMPUTED_VALUE"""),"Describe a subroutine")</f>
        <v>Describe a subroutine</v>
      </c>
      <c r="F91" s="30" t="b">
        <f ca="1">IFERROR(__xludf.DUMMYFUNCTION("""COMPUTED_VALUE"""),TRUE)</f>
        <v>1</v>
      </c>
      <c r="G91" s="26" t="b">
        <f ca="1">IFERROR(__xludf.DUMMYFUNCTION("""COMPUTED_VALUE"""),TRUE)</f>
        <v>1</v>
      </c>
      <c r="H91" s="27"/>
      <c r="I91" s="30"/>
      <c r="J91" s="26"/>
      <c r="K91" s="26"/>
      <c r="L91" s="26"/>
      <c r="M91" s="26"/>
      <c r="N91" s="26"/>
      <c r="O91" s="26"/>
      <c r="P91" s="26"/>
      <c r="Q91" s="26" t="b">
        <f ca="1">IFERROR(__xludf.DUMMYFUNCTION("""COMPUTED_VALUE"""),TRUE)</f>
        <v>1</v>
      </c>
      <c r="R91" s="27"/>
      <c r="S91" s="28" t="s">
        <v>83</v>
      </c>
      <c r="T91" s="28" t="s">
        <v>77</v>
      </c>
      <c r="U91" s="28" t="s">
        <v>84</v>
      </c>
      <c r="V91" s="29" t="s">
        <v>85</v>
      </c>
      <c r="W91" s="67"/>
    </row>
    <row r="92" spans="1:23" ht="28">
      <c r="A92" s="17" t="str">
        <f ca="1">IFERROR(__xludf.DUMMYFUNCTION("""COMPUTED_VALUE"""),"GCSE")</f>
        <v>GCSE</v>
      </c>
      <c r="B92" s="17">
        <f ca="1">IFERROR(__xludf.DUMMYFUNCTION("""COMPUTED_VALUE"""),5)</f>
        <v>5</v>
      </c>
      <c r="C92" s="19" t="str">
        <f ca="1">IFERROR(__xludf.DUMMYFUNCTION("""COMPUTED_VALUE"""),"Programming part 4 - Subroutines")</f>
        <v>Programming part 4 - Subroutines</v>
      </c>
      <c r="D92" s="17">
        <f ca="1">IFERROR(__xludf.DUMMYFUNCTION("""COMPUTED_VALUE"""),18)</f>
        <v>18</v>
      </c>
      <c r="E92" s="19" t="str">
        <f ca="1">IFERROR(__xludf.DUMMYFUNCTION("""COMPUTED_VALUE"""),"Describe how subroutines are used for decomposition")</f>
        <v>Describe how subroutines are used for decomposition</v>
      </c>
      <c r="F92" s="30" t="b">
        <f ca="1">IFERROR(__xludf.DUMMYFUNCTION("""COMPUTED_VALUE"""),TRUE)</f>
        <v>1</v>
      </c>
      <c r="G92" s="26" t="b">
        <f ca="1">IFERROR(__xludf.DUMMYFUNCTION("""COMPUTED_VALUE"""),TRUE)</f>
        <v>1</v>
      </c>
      <c r="H92" s="27"/>
      <c r="I92" s="30"/>
      <c r="J92" s="26"/>
      <c r="K92" s="26"/>
      <c r="L92" s="26"/>
      <c r="M92" s="26"/>
      <c r="N92" s="26"/>
      <c r="O92" s="26"/>
      <c r="P92" s="26"/>
      <c r="Q92" s="26" t="b">
        <f ca="1">IFERROR(__xludf.DUMMYFUNCTION("""COMPUTED_VALUE"""),TRUE)</f>
        <v>1</v>
      </c>
      <c r="R92" s="27"/>
      <c r="S92" s="28" t="s">
        <v>83</v>
      </c>
      <c r="T92" s="28" t="s">
        <v>77</v>
      </c>
      <c r="U92" s="28" t="s">
        <v>84</v>
      </c>
      <c r="V92" s="29" t="s">
        <v>85</v>
      </c>
      <c r="W92" s="67"/>
    </row>
    <row r="93" spans="1:23" ht="28">
      <c r="A93" s="17" t="str">
        <f ca="1">IFERROR(__xludf.DUMMYFUNCTION("""COMPUTED_VALUE"""),"GCSE")</f>
        <v>GCSE</v>
      </c>
      <c r="B93" s="17">
        <f ca="1">IFERROR(__xludf.DUMMYFUNCTION("""COMPUTED_VALUE"""),5)</f>
        <v>5</v>
      </c>
      <c r="C93" s="19" t="str">
        <f ca="1">IFERROR(__xludf.DUMMYFUNCTION("""COMPUTED_VALUE"""),"Programming part 4 - Subroutines")</f>
        <v>Programming part 4 - Subroutines</v>
      </c>
      <c r="D93" s="17">
        <f ca="1">IFERROR(__xludf.DUMMYFUNCTION("""COMPUTED_VALUE"""),18)</f>
        <v>18</v>
      </c>
      <c r="E93" s="19" t="str">
        <f ca="1">IFERROR(__xludf.DUMMYFUNCTION("""COMPUTED_VALUE"""),"Describe the purpose of parameters in subroutines")</f>
        <v>Describe the purpose of parameters in subroutines</v>
      </c>
      <c r="F93" s="30" t="b">
        <f ca="1">IFERROR(__xludf.DUMMYFUNCTION("""COMPUTED_VALUE"""),TRUE)</f>
        <v>1</v>
      </c>
      <c r="G93" s="26" t="b">
        <f ca="1">IFERROR(__xludf.DUMMYFUNCTION("""COMPUTED_VALUE"""),TRUE)</f>
        <v>1</v>
      </c>
      <c r="H93" s="27"/>
      <c r="I93" s="30"/>
      <c r="J93" s="26"/>
      <c r="K93" s="26"/>
      <c r="L93" s="26"/>
      <c r="M93" s="26"/>
      <c r="N93" s="26"/>
      <c r="O93" s="26"/>
      <c r="P93" s="26"/>
      <c r="Q93" s="26" t="b">
        <f ca="1">IFERROR(__xludf.DUMMYFUNCTION("""COMPUTED_VALUE"""),TRUE)</f>
        <v>1</v>
      </c>
      <c r="R93" s="27"/>
      <c r="S93" s="28" t="s">
        <v>83</v>
      </c>
      <c r="T93" s="28" t="s">
        <v>77</v>
      </c>
      <c r="U93" s="28" t="s">
        <v>84</v>
      </c>
      <c r="V93" s="29"/>
      <c r="W93" s="67"/>
    </row>
    <row r="94" spans="1:23" ht="28">
      <c r="A94" s="17" t="str">
        <f ca="1">IFERROR(__xludf.DUMMYFUNCTION("""COMPUTED_VALUE"""),"GCSE")</f>
        <v>GCSE</v>
      </c>
      <c r="B94" s="17">
        <f ca="1">IFERROR(__xludf.DUMMYFUNCTION("""COMPUTED_VALUE"""),5)</f>
        <v>5</v>
      </c>
      <c r="C94" s="19" t="str">
        <f ca="1">IFERROR(__xludf.DUMMYFUNCTION("""COMPUTED_VALUE"""),"Programming part 4 - Subroutines")</f>
        <v>Programming part 4 - Subroutines</v>
      </c>
      <c r="D94" s="17">
        <f ca="1">IFERROR(__xludf.DUMMYFUNCTION("""COMPUTED_VALUE"""),18)</f>
        <v>18</v>
      </c>
      <c r="E94" s="19" t="str">
        <f ca="1">IFERROR(__xludf.DUMMYFUNCTION("""COMPUTED_VALUE"""),"List the advantages of subroutines")</f>
        <v>List the advantages of subroutines</v>
      </c>
      <c r="F94" s="30" t="b">
        <f ca="1">IFERROR(__xludf.DUMMYFUNCTION("""COMPUTED_VALUE"""),TRUE)</f>
        <v>1</v>
      </c>
      <c r="G94" s="26" t="b">
        <f ca="1">IFERROR(__xludf.DUMMYFUNCTION("""COMPUTED_VALUE"""),TRUE)</f>
        <v>1</v>
      </c>
      <c r="H94" s="27"/>
      <c r="I94" s="30"/>
      <c r="J94" s="26"/>
      <c r="K94" s="26"/>
      <c r="L94" s="26"/>
      <c r="M94" s="26"/>
      <c r="N94" s="26"/>
      <c r="O94" s="26"/>
      <c r="P94" s="26"/>
      <c r="Q94" s="26" t="b">
        <f ca="1">IFERROR(__xludf.DUMMYFUNCTION("""COMPUTED_VALUE"""),TRUE)</f>
        <v>1</v>
      </c>
      <c r="R94" s="27"/>
      <c r="S94" s="28" t="s">
        <v>83</v>
      </c>
      <c r="T94" s="28" t="s">
        <v>77</v>
      </c>
      <c r="U94" s="28" t="s">
        <v>84</v>
      </c>
      <c r="V94" s="29" t="s">
        <v>85</v>
      </c>
      <c r="W94" s="67"/>
    </row>
    <row r="95" spans="1:23" ht="28">
      <c r="A95" s="17" t="str">
        <f ca="1">IFERROR(__xludf.DUMMYFUNCTION("""COMPUTED_VALUE"""),"GCSE")</f>
        <v>GCSE</v>
      </c>
      <c r="B95" s="17">
        <f ca="1">IFERROR(__xludf.DUMMYFUNCTION("""COMPUTED_VALUE"""),5)</f>
        <v>5</v>
      </c>
      <c r="C95" s="19" t="str">
        <f ca="1">IFERROR(__xludf.DUMMYFUNCTION("""COMPUTED_VALUE"""),"Programming part 4 - Subroutines")</f>
        <v>Programming part 4 - Subroutines</v>
      </c>
      <c r="D95" s="17">
        <f ca="1">IFERROR(__xludf.DUMMYFUNCTION("""COMPUTED_VALUE"""),18)</f>
        <v>18</v>
      </c>
      <c r="E95" s="19" t="str">
        <f ca="1">IFERROR(__xludf.DUMMYFUNCTION("""COMPUTED_VALUE"""),"Use procedures that accept arguments through parameters")</f>
        <v>Use procedures that accept arguments through parameters</v>
      </c>
      <c r="F95" s="30" t="b">
        <f ca="1">IFERROR(__xludf.DUMMYFUNCTION("""COMPUTED_VALUE"""),TRUE)</f>
        <v>1</v>
      </c>
      <c r="G95" s="26" t="b">
        <f ca="1">IFERROR(__xludf.DUMMYFUNCTION("""COMPUTED_VALUE"""),TRUE)</f>
        <v>1</v>
      </c>
      <c r="H95" s="27"/>
      <c r="I95" s="30"/>
      <c r="J95" s="26"/>
      <c r="K95" s="26"/>
      <c r="L95" s="26"/>
      <c r="M95" s="26"/>
      <c r="N95" s="26"/>
      <c r="O95" s="26"/>
      <c r="P95" s="26"/>
      <c r="Q95" s="26" t="b">
        <f ca="1">IFERROR(__xludf.DUMMYFUNCTION("""COMPUTED_VALUE"""),TRUE)</f>
        <v>1</v>
      </c>
      <c r="R95" s="27"/>
      <c r="S95" s="28" t="s">
        <v>83</v>
      </c>
      <c r="T95" s="28" t="s">
        <v>77</v>
      </c>
      <c r="U95" s="28" t="s">
        <v>84</v>
      </c>
      <c r="V95" s="29" t="s">
        <v>85</v>
      </c>
      <c r="W95" s="67"/>
    </row>
    <row r="96" spans="1:23" ht="28">
      <c r="A96" s="17" t="str">
        <f ca="1">IFERROR(__xludf.DUMMYFUNCTION("""COMPUTED_VALUE"""),"GCSE")</f>
        <v>GCSE</v>
      </c>
      <c r="B96" s="17">
        <f ca="1">IFERROR(__xludf.DUMMYFUNCTION("""COMPUTED_VALUE"""),5)</f>
        <v>5</v>
      </c>
      <c r="C96" s="19" t="str">
        <f ca="1">IFERROR(__xludf.DUMMYFUNCTION("""COMPUTED_VALUE"""),"Programming part 4 - Subroutines")</f>
        <v>Programming part 4 - Subroutines</v>
      </c>
      <c r="D96" s="17">
        <f ca="1">IFERROR(__xludf.DUMMYFUNCTION("""COMPUTED_VALUE"""),19)</f>
        <v>19</v>
      </c>
      <c r="E96" s="19" t="str">
        <f ca="1">IFERROR(__xludf.DUMMYFUNCTION("""COMPUTED_VALUE"""),"Explain the difference between a function and a procedure")</f>
        <v>Explain the difference between a function and a procedure</v>
      </c>
      <c r="F96" s="30" t="b">
        <f ca="1">IFERROR(__xludf.DUMMYFUNCTION("""COMPUTED_VALUE"""),TRUE)</f>
        <v>1</v>
      </c>
      <c r="G96" s="26" t="b">
        <f ca="1">IFERROR(__xludf.DUMMYFUNCTION("""COMPUTED_VALUE"""),TRUE)</f>
        <v>1</v>
      </c>
      <c r="H96" s="27"/>
      <c r="I96" s="30"/>
      <c r="J96" s="26"/>
      <c r="K96" s="26"/>
      <c r="L96" s="26"/>
      <c r="M96" s="26"/>
      <c r="N96" s="26"/>
      <c r="O96" s="26"/>
      <c r="P96" s="26"/>
      <c r="Q96" s="26" t="b">
        <f ca="1">IFERROR(__xludf.DUMMYFUNCTION("""COMPUTED_VALUE"""),TRUE)</f>
        <v>1</v>
      </c>
      <c r="R96" s="27"/>
      <c r="S96" s="28" t="s">
        <v>83</v>
      </c>
      <c r="T96" s="28" t="s">
        <v>77</v>
      </c>
      <c r="U96" s="28" t="s">
        <v>84</v>
      </c>
      <c r="V96" s="29" t="s">
        <v>85</v>
      </c>
      <c r="W96" s="67"/>
    </row>
    <row r="97" spans="1:23" ht="28">
      <c r="A97" s="17" t="str">
        <f ca="1">IFERROR(__xludf.DUMMYFUNCTION("""COMPUTED_VALUE"""),"GCSE")</f>
        <v>GCSE</v>
      </c>
      <c r="B97" s="17">
        <f ca="1">IFERROR(__xludf.DUMMYFUNCTION("""COMPUTED_VALUE"""),5)</f>
        <v>5</v>
      </c>
      <c r="C97" s="19" t="str">
        <f ca="1">IFERROR(__xludf.DUMMYFUNCTION("""COMPUTED_VALUE"""),"Programming part 4 - Subroutines")</f>
        <v>Programming part 4 - Subroutines</v>
      </c>
      <c r="D97" s="17">
        <f ca="1">IFERROR(__xludf.DUMMYFUNCTION("""COMPUTED_VALUE"""),19)</f>
        <v>19</v>
      </c>
      <c r="E97" s="19" t="str">
        <f ca="1">IFERROR(__xludf.DUMMYFUNCTION("""COMPUTED_VALUE"""),"Use functions to return values in programs")</f>
        <v>Use functions to return values in programs</v>
      </c>
      <c r="F97" s="30" t="b">
        <f ca="1">IFERROR(__xludf.DUMMYFUNCTION("""COMPUTED_VALUE"""),TRUE)</f>
        <v>1</v>
      </c>
      <c r="G97" s="26" t="b">
        <f ca="1">IFERROR(__xludf.DUMMYFUNCTION("""COMPUTED_VALUE"""),TRUE)</f>
        <v>1</v>
      </c>
      <c r="H97" s="27"/>
      <c r="I97" s="30"/>
      <c r="J97" s="26"/>
      <c r="K97" s="26"/>
      <c r="L97" s="26"/>
      <c r="M97" s="26"/>
      <c r="N97" s="26"/>
      <c r="O97" s="26"/>
      <c r="P97" s="26"/>
      <c r="Q97" s="26" t="b">
        <f ca="1">IFERROR(__xludf.DUMMYFUNCTION("""COMPUTED_VALUE"""),TRUE)</f>
        <v>1</v>
      </c>
      <c r="R97" s="27"/>
      <c r="S97" s="28" t="s">
        <v>83</v>
      </c>
      <c r="T97" s="28" t="s">
        <v>77</v>
      </c>
      <c r="U97" s="28" t="s">
        <v>84</v>
      </c>
      <c r="V97" s="29" t="s">
        <v>85</v>
      </c>
      <c r="W97" s="67"/>
    </row>
    <row r="98" spans="1:23" ht="28">
      <c r="A98" s="17" t="str">
        <f ca="1">IFERROR(__xludf.DUMMYFUNCTION("""COMPUTED_VALUE"""),"GCSE")</f>
        <v>GCSE</v>
      </c>
      <c r="B98" s="17">
        <f ca="1">IFERROR(__xludf.DUMMYFUNCTION("""COMPUTED_VALUE"""),5)</f>
        <v>5</v>
      </c>
      <c r="C98" s="19" t="str">
        <f ca="1">IFERROR(__xludf.DUMMYFUNCTION("""COMPUTED_VALUE"""),"Programming part 4 - Subroutines")</f>
        <v>Programming part 4 - Subroutines</v>
      </c>
      <c r="D98" s="17">
        <f ca="1">IFERROR(__xludf.DUMMYFUNCTION("""COMPUTED_VALUE"""),19)</f>
        <v>19</v>
      </c>
      <c r="E98" s="19" t="str">
        <f ca="1">IFERROR(__xludf.DUMMYFUNCTION("""COMPUTED_VALUE"""),"Use trace tables to investigate functions")</f>
        <v>Use trace tables to investigate functions</v>
      </c>
      <c r="F98" s="30" t="b">
        <f ca="1">IFERROR(__xludf.DUMMYFUNCTION("""COMPUTED_VALUE"""),TRUE)</f>
        <v>1</v>
      </c>
      <c r="G98" s="26" t="b">
        <f ca="1">IFERROR(__xludf.DUMMYFUNCTION("""COMPUTED_VALUE"""),TRUE)</f>
        <v>1</v>
      </c>
      <c r="H98" s="27"/>
      <c r="I98" s="30" t="b">
        <f ca="1">IFERROR(__xludf.DUMMYFUNCTION("""COMPUTED_VALUE"""),TRUE)</f>
        <v>1</v>
      </c>
      <c r="J98" s="26"/>
      <c r="K98" s="26"/>
      <c r="L98" s="26"/>
      <c r="M98" s="26"/>
      <c r="N98" s="26"/>
      <c r="O98" s="26"/>
      <c r="P98" s="26"/>
      <c r="Q98" s="26" t="b">
        <f ca="1">IFERROR(__xludf.DUMMYFUNCTION("""COMPUTED_VALUE"""),TRUE)</f>
        <v>1</v>
      </c>
      <c r="R98" s="27"/>
      <c r="S98" s="28"/>
      <c r="T98" s="28"/>
      <c r="U98" s="28"/>
      <c r="V98" s="29"/>
      <c r="W98" s="67"/>
    </row>
    <row r="99" spans="1:23" ht="28">
      <c r="A99" s="17" t="str">
        <f ca="1">IFERROR(__xludf.DUMMYFUNCTION("""COMPUTED_VALUE"""),"GCSE")</f>
        <v>GCSE</v>
      </c>
      <c r="B99" s="17">
        <f ca="1">IFERROR(__xludf.DUMMYFUNCTION("""COMPUTED_VALUE"""),5)</f>
        <v>5</v>
      </c>
      <c r="C99" s="19" t="str">
        <f ca="1">IFERROR(__xludf.DUMMYFUNCTION("""COMPUTED_VALUE"""),"Programming part 4 - Subroutines")</f>
        <v>Programming part 4 - Subroutines</v>
      </c>
      <c r="D99" s="17">
        <f ca="1">IFERROR(__xludf.DUMMYFUNCTION("""COMPUTED_VALUE"""),20)</f>
        <v>20</v>
      </c>
      <c r="E99" s="19" t="str">
        <f ca="1">IFERROR(__xludf.DUMMYFUNCTION("""COMPUTED_VALUE"""),"Describe a constant")</f>
        <v>Describe a constant</v>
      </c>
      <c r="F99" s="30" t="b">
        <f ca="1">IFERROR(__xludf.DUMMYFUNCTION("""COMPUTED_VALUE"""),TRUE)</f>
        <v>1</v>
      </c>
      <c r="G99" s="26" t="b">
        <f ca="1">IFERROR(__xludf.DUMMYFUNCTION("""COMPUTED_VALUE"""),TRUE)</f>
        <v>1</v>
      </c>
      <c r="H99" s="27"/>
      <c r="I99" s="30"/>
      <c r="J99" s="26"/>
      <c r="K99" s="26"/>
      <c r="L99" s="26"/>
      <c r="M99" s="26"/>
      <c r="N99" s="26"/>
      <c r="O99" s="26"/>
      <c r="P99" s="26"/>
      <c r="Q99" s="26" t="b">
        <f ca="1">IFERROR(__xludf.DUMMYFUNCTION("""COMPUTED_VALUE"""),TRUE)</f>
        <v>1</v>
      </c>
      <c r="R99" s="27"/>
      <c r="S99" s="28"/>
      <c r="T99" s="28" t="s">
        <v>77</v>
      </c>
      <c r="U99" s="28" t="s">
        <v>84</v>
      </c>
      <c r="V99" s="29" t="s">
        <v>85</v>
      </c>
      <c r="W99" s="67"/>
    </row>
    <row r="100" spans="1:23" ht="28">
      <c r="A100" s="17" t="str">
        <f ca="1">IFERROR(__xludf.DUMMYFUNCTION("""COMPUTED_VALUE"""),"GCSE")</f>
        <v>GCSE</v>
      </c>
      <c r="B100" s="17">
        <f ca="1">IFERROR(__xludf.DUMMYFUNCTION("""COMPUTED_VALUE"""),5)</f>
        <v>5</v>
      </c>
      <c r="C100" s="19" t="str">
        <f ca="1">IFERROR(__xludf.DUMMYFUNCTION("""COMPUTED_VALUE"""),"Programming part 4 - Subroutines")</f>
        <v>Programming part 4 - Subroutines</v>
      </c>
      <c r="D100" s="17">
        <f ca="1">IFERROR(__xludf.DUMMYFUNCTION("""COMPUTED_VALUE"""),20)</f>
        <v>20</v>
      </c>
      <c r="E100" s="19" t="str">
        <f ca="1">IFERROR(__xludf.DUMMYFUNCTION("""COMPUTED_VALUE"""),"Describe how parameters can reduce the need for global variables")</f>
        <v>Describe how parameters can reduce the need for global variables</v>
      </c>
      <c r="F100" s="30" t="b">
        <f ca="1">IFERROR(__xludf.DUMMYFUNCTION("""COMPUTED_VALUE"""),TRUE)</f>
        <v>1</v>
      </c>
      <c r="G100" s="26" t="b">
        <f ca="1">IFERROR(__xludf.DUMMYFUNCTION("""COMPUTED_VALUE"""),TRUE)</f>
        <v>1</v>
      </c>
      <c r="H100" s="27"/>
      <c r="I100" s="30"/>
      <c r="J100" s="26"/>
      <c r="K100" s="26"/>
      <c r="L100" s="26"/>
      <c r="M100" s="26"/>
      <c r="N100" s="26"/>
      <c r="O100" s="26"/>
      <c r="P100" s="26"/>
      <c r="Q100" s="26" t="b">
        <f ca="1">IFERROR(__xludf.DUMMYFUNCTION("""COMPUTED_VALUE"""),TRUE)</f>
        <v>1</v>
      </c>
      <c r="R100" s="27"/>
      <c r="S100" s="28" t="s">
        <v>83</v>
      </c>
      <c r="T100" s="28" t="s">
        <v>77</v>
      </c>
      <c r="U100" s="28" t="s">
        <v>84</v>
      </c>
      <c r="V100" s="29" t="s">
        <v>85</v>
      </c>
      <c r="W100" s="67"/>
    </row>
    <row r="101" spans="1:23" ht="28">
      <c r="A101" s="17" t="str">
        <f ca="1">IFERROR(__xludf.DUMMYFUNCTION("""COMPUTED_VALUE"""),"GCSE")</f>
        <v>GCSE</v>
      </c>
      <c r="B101" s="17">
        <f ca="1">IFERROR(__xludf.DUMMYFUNCTION("""COMPUTED_VALUE"""),5)</f>
        <v>5</v>
      </c>
      <c r="C101" s="19" t="str">
        <f ca="1">IFERROR(__xludf.DUMMYFUNCTION("""COMPUTED_VALUE"""),"Programming part 4 - Subroutines")</f>
        <v>Programming part 4 - Subroutines</v>
      </c>
      <c r="D101" s="17">
        <f ca="1">IFERROR(__xludf.DUMMYFUNCTION("""COMPUTED_VALUE"""),20)</f>
        <v>20</v>
      </c>
      <c r="E101" s="19" t="str">
        <f ca="1">IFERROR(__xludf.DUMMYFUNCTION("""COMPUTED_VALUE"""),"Describe scope of variables")</f>
        <v>Describe scope of variables</v>
      </c>
      <c r="F101" s="30" t="b">
        <f ca="1">IFERROR(__xludf.DUMMYFUNCTION("""COMPUTED_VALUE"""),TRUE)</f>
        <v>1</v>
      </c>
      <c r="G101" s="26" t="b">
        <f ca="1">IFERROR(__xludf.DUMMYFUNCTION("""COMPUTED_VALUE"""),TRUE)</f>
        <v>1</v>
      </c>
      <c r="H101" s="27"/>
      <c r="I101" s="30"/>
      <c r="J101" s="26"/>
      <c r="K101" s="26"/>
      <c r="L101" s="26"/>
      <c r="M101" s="26"/>
      <c r="N101" s="26"/>
      <c r="O101" s="26"/>
      <c r="P101" s="26"/>
      <c r="Q101" s="26" t="b">
        <f ca="1">IFERROR(__xludf.DUMMYFUNCTION("""COMPUTED_VALUE"""),TRUE)</f>
        <v>1</v>
      </c>
      <c r="R101" s="27"/>
      <c r="S101" s="28" t="s">
        <v>83</v>
      </c>
      <c r="T101" s="28" t="s">
        <v>77</v>
      </c>
      <c r="U101" s="28" t="s">
        <v>84</v>
      </c>
      <c r="V101" s="29" t="s">
        <v>85</v>
      </c>
      <c r="W101" s="67"/>
    </row>
    <row r="102" spans="1:23" ht="28">
      <c r="A102" s="17" t="str">
        <f ca="1">IFERROR(__xludf.DUMMYFUNCTION("""COMPUTED_VALUE"""),"GCSE")</f>
        <v>GCSE</v>
      </c>
      <c r="B102" s="17">
        <f ca="1">IFERROR(__xludf.DUMMYFUNCTION("""COMPUTED_VALUE"""),5)</f>
        <v>5</v>
      </c>
      <c r="C102" s="19" t="str">
        <f ca="1">IFERROR(__xludf.DUMMYFUNCTION("""COMPUTED_VALUE"""),"Programming part 4 - Subroutines")</f>
        <v>Programming part 4 - Subroutines</v>
      </c>
      <c r="D102" s="17">
        <f ca="1">IFERROR(__xludf.DUMMYFUNCTION("""COMPUTED_VALUE"""),20)</f>
        <v>20</v>
      </c>
      <c r="E102" s="19" t="str">
        <f ca="1">IFERROR(__xludf.DUMMYFUNCTION("""COMPUTED_VALUE"""),"Identify when to use global variables")</f>
        <v>Identify when to use global variables</v>
      </c>
      <c r="F102" s="30" t="b">
        <f ca="1">IFERROR(__xludf.DUMMYFUNCTION("""COMPUTED_VALUE"""),TRUE)</f>
        <v>1</v>
      </c>
      <c r="G102" s="26" t="b">
        <f ca="1">IFERROR(__xludf.DUMMYFUNCTION("""COMPUTED_VALUE"""),TRUE)</f>
        <v>1</v>
      </c>
      <c r="H102" s="27"/>
      <c r="I102" s="30"/>
      <c r="J102" s="26"/>
      <c r="K102" s="26"/>
      <c r="L102" s="26"/>
      <c r="M102" s="26"/>
      <c r="N102" s="26"/>
      <c r="O102" s="26"/>
      <c r="P102" s="26"/>
      <c r="Q102" s="26" t="b">
        <f ca="1">IFERROR(__xludf.DUMMYFUNCTION("""COMPUTED_VALUE"""),TRUE)</f>
        <v>1</v>
      </c>
      <c r="R102" s="27"/>
      <c r="S102" s="28"/>
      <c r="T102" s="28"/>
      <c r="U102" s="28" t="s">
        <v>84</v>
      </c>
      <c r="V102" s="29"/>
      <c r="W102" s="67"/>
    </row>
    <row r="103" spans="1:23" ht="28">
      <c r="A103" s="17" t="str">
        <f ca="1">IFERROR(__xludf.DUMMYFUNCTION("""COMPUTED_VALUE"""),"GCSE")</f>
        <v>GCSE</v>
      </c>
      <c r="B103" s="17">
        <f ca="1">IFERROR(__xludf.DUMMYFUNCTION("""COMPUTED_VALUE"""),5)</f>
        <v>5</v>
      </c>
      <c r="C103" s="19" t="str">
        <f ca="1">IFERROR(__xludf.DUMMYFUNCTION("""COMPUTED_VALUE"""),"Programming part 4 - Subroutines")</f>
        <v>Programming part 4 - Subroutines</v>
      </c>
      <c r="D103" s="17">
        <f ca="1">IFERROR(__xludf.DUMMYFUNCTION("""COMPUTED_VALUE"""),21)</f>
        <v>21</v>
      </c>
      <c r="E103" s="19" t="str">
        <f ca="1">IFERROR(__xludf.DUMMYFUNCTION("""COMPUTED_VALUE"""),"Describe the function of an XOR operator")</f>
        <v>Describe the function of an XOR operator</v>
      </c>
      <c r="F103" s="30" t="b">
        <f ca="1">IFERROR(__xludf.DUMMYFUNCTION("""COMPUTED_VALUE"""),TRUE)</f>
        <v>1</v>
      </c>
      <c r="G103" s="26" t="b">
        <f ca="1">IFERROR(__xludf.DUMMYFUNCTION("""COMPUTED_VALUE"""),TRUE)</f>
        <v>1</v>
      </c>
      <c r="H103" s="27"/>
      <c r="I103" s="30" t="b">
        <f ca="1">IFERROR(__xludf.DUMMYFUNCTION("""COMPUTED_VALUE"""),TRUE)</f>
        <v>1</v>
      </c>
      <c r="J103" s="26"/>
      <c r="K103" s="26"/>
      <c r="L103" s="26"/>
      <c r="M103" s="26"/>
      <c r="N103" s="26"/>
      <c r="O103" s="26"/>
      <c r="P103" s="26"/>
      <c r="Q103" s="26"/>
      <c r="R103" s="27"/>
      <c r="S103" s="28" t="s">
        <v>83</v>
      </c>
      <c r="T103" s="28" t="s">
        <v>77</v>
      </c>
      <c r="U103" s="28" t="s">
        <v>84</v>
      </c>
      <c r="V103" s="29" t="s">
        <v>85</v>
      </c>
      <c r="W103" s="67"/>
    </row>
    <row r="104" spans="1:23" ht="28">
      <c r="A104" s="17" t="str">
        <f ca="1">IFERROR(__xludf.DUMMYFUNCTION("""COMPUTED_VALUE"""),"GCSE")</f>
        <v>GCSE</v>
      </c>
      <c r="B104" s="17">
        <f ca="1">IFERROR(__xludf.DUMMYFUNCTION("""COMPUTED_VALUE"""),5)</f>
        <v>5</v>
      </c>
      <c r="C104" s="19" t="str">
        <f ca="1">IFERROR(__xludf.DUMMYFUNCTION("""COMPUTED_VALUE"""),"Programming part 4 - Subroutines")</f>
        <v>Programming part 4 - Subroutines</v>
      </c>
      <c r="D104" s="17">
        <f ca="1">IFERROR(__xludf.DUMMYFUNCTION("""COMPUTED_VALUE"""),21)</f>
        <v>21</v>
      </c>
      <c r="E104" s="19" t="str">
        <f ca="1">IFERROR(__xludf.DUMMYFUNCTION("""COMPUTED_VALUE"""),"Design and create a function for an XOR operator")</f>
        <v>Design and create a function for an XOR operator</v>
      </c>
      <c r="F104" s="30" t="b">
        <f ca="1">IFERROR(__xludf.DUMMYFUNCTION("""COMPUTED_VALUE"""),TRUE)</f>
        <v>1</v>
      </c>
      <c r="G104" s="26" t="b">
        <f ca="1">IFERROR(__xludf.DUMMYFUNCTION("""COMPUTED_VALUE"""),TRUE)</f>
        <v>1</v>
      </c>
      <c r="H104" s="27"/>
      <c r="I104" s="30" t="b">
        <f ca="1">IFERROR(__xludf.DUMMYFUNCTION("""COMPUTED_VALUE"""),TRUE)</f>
        <v>1</v>
      </c>
      <c r="J104" s="26"/>
      <c r="K104" s="26"/>
      <c r="L104" s="26" t="b">
        <f ca="1">IFERROR(__xludf.DUMMYFUNCTION("""COMPUTED_VALUE"""),TRUE)</f>
        <v>1</v>
      </c>
      <c r="M104" s="26"/>
      <c r="N104" s="26"/>
      <c r="O104" s="26"/>
      <c r="P104" s="26"/>
      <c r="Q104" s="26" t="b">
        <f ca="1">IFERROR(__xludf.DUMMYFUNCTION("""COMPUTED_VALUE"""),TRUE)</f>
        <v>1</v>
      </c>
      <c r="R104" s="27"/>
      <c r="S104" s="28" t="s">
        <v>83</v>
      </c>
      <c r="T104" s="28" t="s">
        <v>77</v>
      </c>
      <c r="U104" s="28" t="s">
        <v>84</v>
      </c>
      <c r="V104" s="29" t="s">
        <v>85</v>
      </c>
      <c r="W104" s="67"/>
    </row>
    <row r="105" spans="1:23" ht="28">
      <c r="A105" s="17" t="str">
        <f ca="1">IFERROR(__xludf.DUMMYFUNCTION("""COMPUTED_VALUE"""),"GCSE")</f>
        <v>GCSE</v>
      </c>
      <c r="B105" s="17">
        <f ca="1">IFERROR(__xludf.DUMMYFUNCTION("""COMPUTED_VALUE"""),5)</f>
        <v>5</v>
      </c>
      <c r="C105" s="19" t="str">
        <f ca="1">IFERROR(__xludf.DUMMYFUNCTION("""COMPUTED_VALUE"""),"Programming part 4 - Subroutines")</f>
        <v>Programming part 4 - Subroutines</v>
      </c>
      <c r="D105" s="17">
        <f ca="1">IFERROR(__xludf.DUMMYFUNCTION("""COMPUTED_VALUE"""),21)</f>
        <v>21</v>
      </c>
      <c r="E105" s="19" t="str">
        <f ca="1">IFERROR(__xludf.DUMMYFUNCTION("""COMPUTED_VALUE"""),"Use a truth table")</f>
        <v>Use a truth table</v>
      </c>
      <c r="F105" s="30" t="b">
        <f ca="1">IFERROR(__xludf.DUMMYFUNCTION("""COMPUTED_VALUE"""),TRUE)</f>
        <v>1</v>
      </c>
      <c r="G105" s="26" t="b">
        <f ca="1">IFERROR(__xludf.DUMMYFUNCTION("""COMPUTED_VALUE"""),TRUE)</f>
        <v>1</v>
      </c>
      <c r="H105" s="27"/>
      <c r="I105" s="30" t="b">
        <f ca="1">IFERROR(__xludf.DUMMYFUNCTION("""COMPUTED_VALUE"""),TRUE)</f>
        <v>1</v>
      </c>
      <c r="J105" s="26"/>
      <c r="K105" s="26"/>
      <c r="L105" s="26"/>
      <c r="M105" s="26"/>
      <c r="N105" s="26"/>
      <c r="O105" s="26"/>
      <c r="P105" s="26"/>
      <c r="Q105" s="26" t="b">
        <f ca="1">IFERROR(__xludf.DUMMYFUNCTION("""COMPUTED_VALUE"""),TRUE)</f>
        <v>1</v>
      </c>
      <c r="R105" s="27"/>
      <c r="S105" s="28" t="s">
        <v>83</v>
      </c>
      <c r="T105" s="28" t="s">
        <v>77</v>
      </c>
      <c r="U105" s="28" t="s">
        <v>84</v>
      </c>
      <c r="V105" s="29" t="s">
        <v>85</v>
      </c>
      <c r="W105" s="67"/>
    </row>
    <row r="106" spans="1:23" ht="28">
      <c r="A106" s="17" t="str">
        <f ca="1">IFERROR(__xludf.DUMMYFUNCTION("""COMPUTED_VALUE"""),"GCSE")</f>
        <v>GCSE</v>
      </c>
      <c r="B106" s="17">
        <f ca="1">IFERROR(__xludf.DUMMYFUNCTION("""COMPUTED_VALUE"""),5)</f>
        <v>5</v>
      </c>
      <c r="C106" s="19" t="str">
        <f ca="1">IFERROR(__xludf.DUMMYFUNCTION("""COMPUTED_VALUE"""),"Programming part 4 - Subroutines")</f>
        <v>Programming part 4 - Subroutines</v>
      </c>
      <c r="D106" s="17">
        <f ca="1">IFERROR(__xludf.DUMMYFUNCTION("""COMPUTED_VALUE"""),22)</f>
        <v>22</v>
      </c>
      <c r="E106" s="19" t="str">
        <f ca="1">IFERROR(__xludf.DUMMYFUNCTION("""COMPUTED_VALUE"""),"Describe the structured approach to programming")</f>
        <v>Describe the structured approach to programming</v>
      </c>
      <c r="F106" s="30" t="b">
        <f ca="1">IFERROR(__xludf.DUMMYFUNCTION("""COMPUTED_VALUE"""),TRUE)</f>
        <v>1</v>
      </c>
      <c r="G106" s="26" t="b">
        <f ca="1">IFERROR(__xludf.DUMMYFUNCTION("""COMPUTED_VALUE"""),TRUE)</f>
        <v>1</v>
      </c>
      <c r="H106" s="27"/>
      <c r="I106" s="30"/>
      <c r="J106" s="26"/>
      <c r="K106" s="26"/>
      <c r="L106" s="26"/>
      <c r="M106" s="26"/>
      <c r="N106" s="26"/>
      <c r="O106" s="26"/>
      <c r="P106" s="26"/>
      <c r="Q106" s="26" t="b">
        <f ca="1">IFERROR(__xludf.DUMMYFUNCTION("""COMPUTED_VALUE"""),TRUE)</f>
        <v>1</v>
      </c>
      <c r="R106" s="27"/>
      <c r="S106" s="28"/>
      <c r="T106" s="28"/>
      <c r="U106" s="28" t="s">
        <v>84</v>
      </c>
      <c r="V106" s="29"/>
      <c r="W106" s="67"/>
    </row>
    <row r="107" spans="1:23" ht="28">
      <c r="A107" s="17" t="str">
        <f ca="1">IFERROR(__xludf.DUMMYFUNCTION("""COMPUTED_VALUE"""),"GCSE")</f>
        <v>GCSE</v>
      </c>
      <c r="B107" s="17">
        <f ca="1">IFERROR(__xludf.DUMMYFUNCTION("""COMPUTED_VALUE"""),5)</f>
        <v>5</v>
      </c>
      <c r="C107" s="19" t="str">
        <f ca="1">IFERROR(__xludf.DUMMYFUNCTION("""COMPUTED_VALUE"""),"Programming part 4 - Subroutines")</f>
        <v>Programming part 4 - Subroutines</v>
      </c>
      <c r="D107" s="17">
        <f ca="1">IFERROR(__xludf.DUMMYFUNCTION("""COMPUTED_VALUE"""),22)</f>
        <v>22</v>
      </c>
      <c r="E107" s="19" t="str">
        <f ca="1">IFERROR(__xludf.DUMMYFUNCTION("""COMPUTED_VALUE"""),"Explain the advantages of the structured approach")</f>
        <v>Explain the advantages of the structured approach</v>
      </c>
      <c r="F107" s="30" t="b">
        <f ca="1">IFERROR(__xludf.DUMMYFUNCTION("""COMPUTED_VALUE"""),TRUE)</f>
        <v>1</v>
      </c>
      <c r="G107" s="26" t="b">
        <f ca="1">IFERROR(__xludf.DUMMYFUNCTION("""COMPUTED_VALUE"""),TRUE)</f>
        <v>1</v>
      </c>
      <c r="H107" s="27"/>
      <c r="I107" s="30"/>
      <c r="J107" s="26"/>
      <c r="K107" s="26"/>
      <c r="L107" s="26"/>
      <c r="M107" s="26"/>
      <c r="N107" s="26"/>
      <c r="O107" s="26"/>
      <c r="P107" s="26"/>
      <c r="Q107" s="26" t="b">
        <f ca="1">IFERROR(__xludf.DUMMYFUNCTION("""COMPUTED_VALUE"""),TRUE)</f>
        <v>1</v>
      </c>
      <c r="R107" s="27"/>
      <c r="S107" s="28" t="s">
        <v>83</v>
      </c>
      <c r="T107" s="28" t="s">
        <v>77</v>
      </c>
      <c r="U107" s="28" t="s">
        <v>84</v>
      </c>
      <c r="V107" s="29" t="s">
        <v>85</v>
      </c>
      <c r="W107" s="67"/>
    </row>
    <row r="108" spans="1:23" ht="42">
      <c r="A108" s="17" t="str">
        <f ca="1">IFERROR(__xludf.DUMMYFUNCTION("""COMPUTED_VALUE"""),"GCSE")</f>
        <v>GCSE</v>
      </c>
      <c r="B108" s="17">
        <f ca="1">IFERROR(__xludf.DUMMYFUNCTION("""COMPUTED_VALUE"""),5)</f>
        <v>5</v>
      </c>
      <c r="C108" s="19" t="str">
        <f ca="1">IFERROR(__xludf.DUMMYFUNCTION("""COMPUTED_VALUE"""),"Programming part 4 - Subroutines")</f>
        <v>Programming part 4 - Subroutines</v>
      </c>
      <c r="D108" s="17">
        <f ca="1">IFERROR(__xludf.DUMMYFUNCTION("""COMPUTED_VALUE"""),22)</f>
        <v>22</v>
      </c>
      <c r="E108" s="19" t="str">
        <f ca="1">IFERROR(__xludf.DUMMYFUNCTION("""COMPUTED_VALUE"""),"Use the structured approach in programming")</f>
        <v>Use the structured approach in programming</v>
      </c>
      <c r="F108" s="30" t="b">
        <f ca="1">IFERROR(__xludf.DUMMYFUNCTION("""COMPUTED_VALUE"""),TRUE)</f>
        <v>1</v>
      </c>
      <c r="G108" s="26" t="b">
        <f ca="1">IFERROR(__xludf.DUMMYFUNCTION("""COMPUTED_VALUE"""),TRUE)</f>
        <v>1</v>
      </c>
      <c r="H108" s="27"/>
      <c r="I108" s="30"/>
      <c r="J108" s="26"/>
      <c r="K108" s="26"/>
      <c r="L108" s="26"/>
      <c r="M108" s="26"/>
      <c r="N108" s="26"/>
      <c r="O108" s="26"/>
      <c r="P108" s="26"/>
      <c r="Q108" s="26" t="b">
        <f ca="1">IFERROR(__xludf.DUMMYFUNCTION("""COMPUTED_VALUE"""),TRUE)</f>
        <v>1</v>
      </c>
      <c r="R108" s="27"/>
      <c r="S108" s="28" t="s">
        <v>70</v>
      </c>
      <c r="T108" s="28" t="s">
        <v>81</v>
      </c>
      <c r="U108" s="28"/>
      <c r="V108" s="29"/>
      <c r="W108" s="67" t="s">
        <v>86</v>
      </c>
    </row>
    <row r="109" spans="1:23" ht="42">
      <c r="A109" s="17" t="str">
        <f ca="1">IFERROR(__xludf.DUMMYFUNCTION("""COMPUTED_VALUE"""),"GCSE")</f>
        <v>GCSE</v>
      </c>
      <c r="B109" s="17">
        <f ca="1">IFERROR(__xludf.DUMMYFUNCTION("""COMPUTED_VALUE"""),5)</f>
        <v>5</v>
      </c>
      <c r="C109" s="19" t="str">
        <f ca="1">IFERROR(__xludf.DUMMYFUNCTION("""COMPUTED_VALUE"""),"Programming part 4 - Subroutines")</f>
        <v>Programming part 4 - Subroutines</v>
      </c>
      <c r="D109" s="17">
        <f ca="1">IFERROR(__xludf.DUMMYFUNCTION("""COMPUTED_VALUE"""),23)</f>
        <v>23</v>
      </c>
      <c r="E109" s="19" t="str">
        <f ca="1">IFERROR(__xludf.DUMMYFUNCTION("""COMPUTED_VALUE"""),"Describe iterative testing")</f>
        <v>Describe iterative testing</v>
      </c>
      <c r="F109" s="30" t="b">
        <f ca="1">IFERROR(__xludf.DUMMYFUNCTION("""COMPUTED_VALUE"""),TRUE)</f>
        <v>1</v>
      </c>
      <c r="G109" s="26" t="b">
        <f ca="1">IFERROR(__xludf.DUMMYFUNCTION("""COMPUTED_VALUE"""),TRUE)</f>
        <v>1</v>
      </c>
      <c r="H109" s="27"/>
      <c r="I109" s="30"/>
      <c r="J109" s="26"/>
      <c r="K109" s="26"/>
      <c r="L109" s="26"/>
      <c r="M109" s="26"/>
      <c r="N109" s="26"/>
      <c r="O109" s="26"/>
      <c r="P109" s="26"/>
      <c r="Q109" s="26" t="b">
        <f ca="1">IFERROR(__xludf.DUMMYFUNCTION("""COMPUTED_VALUE"""),TRUE)</f>
        <v>1</v>
      </c>
      <c r="R109" s="27"/>
      <c r="S109" s="28" t="s">
        <v>70</v>
      </c>
      <c r="T109" s="28" t="s">
        <v>81</v>
      </c>
      <c r="U109" s="28" t="s">
        <v>72</v>
      </c>
      <c r="V109" s="29" t="s">
        <v>82</v>
      </c>
      <c r="W109" s="67" t="s">
        <v>86</v>
      </c>
    </row>
    <row r="110" spans="1:23" ht="42">
      <c r="A110" s="17" t="str">
        <f ca="1">IFERROR(__xludf.DUMMYFUNCTION("""COMPUTED_VALUE"""),"GCSE")</f>
        <v>GCSE</v>
      </c>
      <c r="B110" s="17">
        <f ca="1">IFERROR(__xludf.DUMMYFUNCTION("""COMPUTED_VALUE"""),5)</f>
        <v>5</v>
      </c>
      <c r="C110" s="19" t="str">
        <f ca="1">IFERROR(__xludf.DUMMYFUNCTION("""COMPUTED_VALUE"""),"Programming part 4 - Subroutines")</f>
        <v>Programming part 4 - Subroutines</v>
      </c>
      <c r="D110" s="17">
        <f ca="1">IFERROR(__xludf.DUMMYFUNCTION("""COMPUTED_VALUE"""),23)</f>
        <v>23</v>
      </c>
      <c r="E110" s="19" t="str">
        <f ca="1">IFERROR(__xludf.DUMMYFUNCTION("""COMPUTED_VALUE"""),"Describe the types of testing (erroneous, boundary, normal)")</f>
        <v>Describe the types of testing (erroneous, boundary, normal)</v>
      </c>
      <c r="F110" s="30" t="b">
        <f ca="1">IFERROR(__xludf.DUMMYFUNCTION("""COMPUTED_VALUE"""),TRUE)</f>
        <v>1</v>
      </c>
      <c r="G110" s="26" t="b">
        <f ca="1">IFERROR(__xludf.DUMMYFUNCTION("""COMPUTED_VALUE"""),TRUE)</f>
        <v>1</v>
      </c>
      <c r="H110" s="27"/>
      <c r="I110" s="30"/>
      <c r="J110" s="26"/>
      <c r="K110" s="26"/>
      <c r="L110" s="26"/>
      <c r="M110" s="26"/>
      <c r="N110" s="26"/>
      <c r="O110" s="26"/>
      <c r="P110" s="26"/>
      <c r="Q110" s="26" t="b">
        <f ca="1">IFERROR(__xludf.DUMMYFUNCTION("""COMPUTED_VALUE"""),TRUE)</f>
        <v>1</v>
      </c>
      <c r="R110" s="27"/>
      <c r="S110" s="28" t="s">
        <v>70</v>
      </c>
      <c r="T110" s="28" t="s">
        <v>81</v>
      </c>
      <c r="U110" s="28" t="s">
        <v>72</v>
      </c>
      <c r="V110" s="29" t="s">
        <v>87</v>
      </c>
      <c r="W110" s="67" t="s">
        <v>86</v>
      </c>
    </row>
    <row r="111" spans="1:23" ht="42">
      <c r="A111" s="17" t="str">
        <f ca="1">IFERROR(__xludf.DUMMYFUNCTION("""COMPUTED_VALUE"""),"GCSE")</f>
        <v>GCSE</v>
      </c>
      <c r="B111" s="17">
        <f ca="1">IFERROR(__xludf.DUMMYFUNCTION("""COMPUTED_VALUE"""),5)</f>
        <v>5</v>
      </c>
      <c r="C111" s="19" t="str">
        <f ca="1">IFERROR(__xludf.DUMMYFUNCTION("""COMPUTED_VALUE"""),"Programming part 4 - Subroutines")</f>
        <v>Programming part 4 - Subroutines</v>
      </c>
      <c r="D111" s="17">
        <f ca="1">IFERROR(__xludf.DUMMYFUNCTION("""COMPUTED_VALUE"""),23)</f>
        <v>23</v>
      </c>
      <c r="E111" s="19" t="str">
        <f ca="1">IFERROR(__xludf.DUMMYFUNCTION("""COMPUTED_VALUE"""),"Design and create a program")</f>
        <v>Design and create a program</v>
      </c>
      <c r="F111" s="30" t="b">
        <f ca="1">IFERROR(__xludf.DUMMYFUNCTION("""COMPUTED_VALUE"""),TRUE)</f>
        <v>1</v>
      </c>
      <c r="G111" s="26" t="b">
        <f ca="1">IFERROR(__xludf.DUMMYFUNCTION("""COMPUTED_VALUE"""),TRUE)</f>
        <v>1</v>
      </c>
      <c r="H111" s="27"/>
      <c r="I111" s="30" t="b">
        <f ca="1">IFERROR(__xludf.DUMMYFUNCTION("""COMPUTED_VALUE"""),TRUE)</f>
        <v>1</v>
      </c>
      <c r="J111" s="26"/>
      <c r="K111" s="26"/>
      <c r="L111" s="26" t="b">
        <f ca="1">IFERROR(__xludf.DUMMYFUNCTION("""COMPUTED_VALUE"""),TRUE)</f>
        <v>1</v>
      </c>
      <c r="M111" s="26"/>
      <c r="N111" s="26"/>
      <c r="O111" s="26"/>
      <c r="P111" s="26"/>
      <c r="Q111" s="26" t="b">
        <f ca="1">IFERROR(__xludf.DUMMYFUNCTION("""COMPUTED_VALUE"""),TRUE)</f>
        <v>1</v>
      </c>
      <c r="R111" s="27"/>
      <c r="S111" s="31" t="s">
        <v>70</v>
      </c>
      <c r="T111" s="31" t="s">
        <v>81</v>
      </c>
      <c r="U111" s="31" t="s">
        <v>72</v>
      </c>
      <c r="V111" s="32" t="s">
        <v>87</v>
      </c>
      <c r="W111" s="67" t="s">
        <v>86</v>
      </c>
    </row>
    <row r="112" spans="1:23" ht="28">
      <c r="A112" s="17" t="str">
        <f ca="1">IFERROR(__xludf.DUMMYFUNCTION("""COMPUTED_VALUE"""),"GCSE")</f>
        <v>GCSE</v>
      </c>
      <c r="B112" s="17">
        <f ca="1">IFERROR(__xludf.DUMMYFUNCTION("""COMPUTED_VALUE"""),6)</f>
        <v>6</v>
      </c>
      <c r="C112" s="19" t="str">
        <f ca="1">IFERROR(__xludf.DUMMYFUNCTION("""COMPUTED_VALUE"""),"Algorithms part 1 - The essentials")</f>
        <v>Algorithms part 1 - The essentials</v>
      </c>
      <c r="D112" s="17">
        <f ca="1">IFERROR(__xludf.DUMMYFUNCTION("""COMPUTED_VALUE"""),1)</f>
        <v>1</v>
      </c>
      <c r="E112" s="19" t="str">
        <f ca="1">IFERROR(__xludf.DUMMYFUNCTION("""COMPUTED_VALUE"""),"Apply decomposition, abstraction and algorithmic thinking to help solve a problem")</f>
        <v>Apply decomposition, abstraction and algorithmic thinking to help solve a problem</v>
      </c>
      <c r="F112" s="30" t="b">
        <f ca="1">IFERROR(__xludf.DUMMYFUNCTION("""COMPUTED_VALUE"""),TRUE)</f>
        <v>1</v>
      </c>
      <c r="G112" s="26" t="b">
        <f ca="1">IFERROR(__xludf.DUMMYFUNCTION("""COMPUTED_VALUE"""),TRUE)</f>
        <v>1</v>
      </c>
      <c r="H112" s="27"/>
      <c r="I112" s="30" t="b">
        <f ca="1">IFERROR(__xludf.DUMMYFUNCTION("""COMPUTED_VALUE"""),TRUE)</f>
        <v>1</v>
      </c>
      <c r="J112" s="26"/>
      <c r="K112" s="26"/>
      <c r="L112" s="26"/>
      <c r="M112" s="26"/>
      <c r="N112" s="26"/>
      <c r="O112" s="26"/>
      <c r="P112" s="26"/>
      <c r="Q112" s="26"/>
      <c r="R112" s="27"/>
      <c r="S112" s="28" t="s">
        <v>28</v>
      </c>
      <c r="T112" s="28" t="s">
        <v>88</v>
      </c>
      <c r="U112" s="28"/>
      <c r="V112" s="29" t="s">
        <v>68</v>
      </c>
      <c r="W112" s="67" t="s">
        <v>86</v>
      </c>
    </row>
    <row r="113" spans="1:23" ht="28">
      <c r="A113" s="17" t="str">
        <f ca="1">IFERROR(__xludf.DUMMYFUNCTION("""COMPUTED_VALUE"""),"GCSE")</f>
        <v>GCSE</v>
      </c>
      <c r="B113" s="17">
        <f ca="1">IFERROR(__xludf.DUMMYFUNCTION("""COMPUTED_VALUE"""),6)</f>
        <v>6</v>
      </c>
      <c r="C113" s="19" t="str">
        <f ca="1">IFERROR(__xludf.DUMMYFUNCTION("""COMPUTED_VALUE"""),"Algorithms part 1 - The essentials")</f>
        <v>Algorithms part 1 - The essentials</v>
      </c>
      <c r="D113" s="17">
        <f ca="1">IFERROR(__xludf.DUMMYFUNCTION("""COMPUTED_VALUE"""),1)</f>
        <v>1</v>
      </c>
      <c r="E113" s="19" t="str">
        <f ca="1">IFERROR(__xludf.DUMMYFUNCTION("""COMPUTED_VALUE"""),"Define the terms decomposition, abstraction and algorithmic thinking")</f>
        <v>Define the terms decomposition, abstraction and algorithmic thinking</v>
      </c>
      <c r="F113" s="30" t="b">
        <f ca="1">IFERROR(__xludf.DUMMYFUNCTION("""COMPUTED_VALUE"""),TRUE)</f>
        <v>1</v>
      </c>
      <c r="G113" s="26" t="b">
        <f ca="1">IFERROR(__xludf.DUMMYFUNCTION("""COMPUTED_VALUE"""),TRUE)</f>
        <v>1</v>
      </c>
      <c r="H113" s="27"/>
      <c r="I113" s="30" t="b">
        <f ca="1">IFERROR(__xludf.DUMMYFUNCTION("""COMPUTED_VALUE"""),TRUE)</f>
        <v>1</v>
      </c>
      <c r="J113" s="26"/>
      <c r="K113" s="26"/>
      <c r="L113" s="26"/>
      <c r="M113" s="26"/>
      <c r="N113" s="26"/>
      <c r="O113" s="26"/>
      <c r="P113" s="26"/>
      <c r="Q113" s="26"/>
      <c r="R113" s="27"/>
      <c r="S113" s="28" t="s">
        <v>28</v>
      </c>
      <c r="T113" s="28" t="s">
        <v>88</v>
      </c>
      <c r="U113" s="28" t="s">
        <v>89</v>
      </c>
      <c r="V113" s="29" t="s">
        <v>68</v>
      </c>
      <c r="W113" s="67" t="s">
        <v>86</v>
      </c>
    </row>
    <row r="114" spans="1:23" ht="28">
      <c r="A114" s="17" t="str">
        <f ca="1">IFERROR(__xludf.DUMMYFUNCTION("""COMPUTED_VALUE"""),"GCSE")</f>
        <v>GCSE</v>
      </c>
      <c r="B114" s="17">
        <f ca="1">IFERROR(__xludf.DUMMYFUNCTION("""COMPUTED_VALUE"""),6)</f>
        <v>6</v>
      </c>
      <c r="C114" s="19" t="str">
        <f ca="1">IFERROR(__xludf.DUMMYFUNCTION("""COMPUTED_VALUE"""),"Algorithms part 1 - The essentials")</f>
        <v>Algorithms part 1 - The essentials</v>
      </c>
      <c r="D114" s="17">
        <f ca="1">IFERROR(__xludf.DUMMYFUNCTION("""COMPUTED_VALUE"""),1)</f>
        <v>1</v>
      </c>
      <c r="E114" s="19" t="str">
        <f ca="1">IFERROR(__xludf.DUMMYFUNCTION("""COMPUTED_VALUE"""),"Recognise scenarios where each of these computational thinking techniques are applied")</f>
        <v>Recognise scenarios where each of these computational thinking techniques are applied</v>
      </c>
      <c r="F114" s="30" t="b">
        <f ca="1">IFERROR(__xludf.DUMMYFUNCTION("""COMPUTED_VALUE"""),TRUE)</f>
        <v>1</v>
      </c>
      <c r="G114" s="26" t="b">
        <f ca="1">IFERROR(__xludf.DUMMYFUNCTION("""COMPUTED_VALUE"""),TRUE)</f>
        <v>1</v>
      </c>
      <c r="H114" s="27"/>
      <c r="I114" s="30" t="b">
        <f ca="1">IFERROR(__xludf.DUMMYFUNCTION("""COMPUTED_VALUE"""),TRUE)</f>
        <v>1</v>
      </c>
      <c r="J114" s="26"/>
      <c r="K114" s="26"/>
      <c r="L114" s="26"/>
      <c r="M114" s="26"/>
      <c r="N114" s="26"/>
      <c r="O114" s="26"/>
      <c r="P114" s="26"/>
      <c r="Q114" s="26"/>
      <c r="R114" s="27"/>
      <c r="S114" s="28" t="s">
        <v>28</v>
      </c>
      <c r="T114" s="28" t="s">
        <v>90</v>
      </c>
      <c r="U114" s="28" t="s">
        <v>89</v>
      </c>
      <c r="V114" s="29" t="s">
        <v>68</v>
      </c>
      <c r="W114" s="67" t="s">
        <v>86</v>
      </c>
    </row>
    <row r="115" spans="1:23" ht="28">
      <c r="A115" s="17" t="str">
        <f ca="1">IFERROR(__xludf.DUMMYFUNCTION("""COMPUTED_VALUE"""),"GCSE")</f>
        <v>GCSE</v>
      </c>
      <c r="B115" s="17">
        <f ca="1">IFERROR(__xludf.DUMMYFUNCTION("""COMPUTED_VALUE"""),6)</f>
        <v>6</v>
      </c>
      <c r="C115" s="19" t="str">
        <f ca="1">IFERROR(__xludf.DUMMYFUNCTION("""COMPUTED_VALUE"""),"Algorithms part 1 - The essentials")</f>
        <v>Algorithms part 1 - The essentials</v>
      </c>
      <c r="D115" s="17">
        <f ca="1">IFERROR(__xludf.DUMMYFUNCTION("""COMPUTED_VALUE"""),2)</f>
        <v>2</v>
      </c>
      <c r="E115" s="19" t="str">
        <f ca="1">IFERROR(__xludf.DUMMYFUNCTION("""COMPUTED_VALUE"""),"Analyse and create flowcharts using the flowchart symbols")</f>
        <v>Analyse and create flowcharts using the flowchart symbols</v>
      </c>
      <c r="F115" s="30" t="b">
        <f ca="1">IFERROR(__xludf.DUMMYFUNCTION("""COMPUTED_VALUE"""),TRUE)</f>
        <v>1</v>
      </c>
      <c r="G115" s="26" t="b">
        <f ca="1">IFERROR(__xludf.DUMMYFUNCTION("""COMPUTED_VALUE"""),TRUE)</f>
        <v>1</v>
      </c>
      <c r="H115" s="27"/>
      <c r="I115" s="30" t="b">
        <f ca="1">IFERROR(__xludf.DUMMYFUNCTION("""COMPUTED_VALUE"""),TRUE)</f>
        <v>1</v>
      </c>
      <c r="J115" s="26"/>
      <c r="K115" s="26"/>
      <c r="L115" s="26"/>
      <c r="M115" s="26"/>
      <c r="N115" s="26"/>
      <c r="O115" s="26"/>
      <c r="P115" s="26"/>
      <c r="Q115" s="26"/>
      <c r="R115" s="27"/>
      <c r="S115" s="28" t="s">
        <v>28</v>
      </c>
      <c r="T115" s="28" t="s">
        <v>90</v>
      </c>
      <c r="U115" s="28" t="s">
        <v>89</v>
      </c>
      <c r="V115" s="29" t="s">
        <v>91</v>
      </c>
      <c r="W115" s="67" t="s">
        <v>86</v>
      </c>
    </row>
    <row r="116" spans="1:23" ht="42">
      <c r="A116" s="17" t="str">
        <f ca="1">IFERROR(__xludf.DUMMYFUNCTION("""COMPUTED_VALUE"""),"GCSE")</f>
        <v>GCSE</v>
      </c>
      <c r="B116" s="17">
        <f ca="1">IFERROR(__xludf.DUMMYFUNCTION("""COMPUTED_VALUE"""),6)</f>
        <v>6</v>
      </c>
      <c r="C116" s="19" t="str">
        <f ca="1">IFERROR(__xludf.DUMMYFUNCTION("""COMPUTED_VALUE"""),"Algorithms part 1 - The essentials")</f>
        <v>Algorithms part 1 - The essentials</v>
      </c>
      <c r="D116" s="17">
        <f ca="1">IFERROR(__xludf.DUMMYFUNCTION("""COMPUTED_VALUE"""),2)</f>
        <v>2</v>
      </c>
      <c r="E116" s="19" t="str">
        <f ca="1">IFERROR(__xludf.DUMMYFUNCTION("""COMPUTED_VALUE"""),"Describe the difference between algorithms and computer programs")</f>
        <v>Describe the difference between algorithms and computer programs</v>
      </c>
      <c r="F116" s="30" t="b">
        <f ca="1">IFERROR(__xludf.DUMMYFUNCTION("""COMPUTED_VALUE"""),TRUE)</f>
        <v>1</v>
      </c>
      <c r="G116" s="26" t="b">
        <f ca="1">IFERROR(__xludf.DUMMYFUNCTION("""COMPUTED_VALUE"""),TRUE)</f>
        <v>1</v>
      </c>
      <c r="H116" s="27"/>
      <c r="I116" s="30" t="b">
        <f ca="1">IFERROR(__xludf.DUMMYFUNCTION("""COMPUTED_VALUE"""),TRUE)</f>
        <v>1</v>
      </c>
      <c r="J116" s="26"/>
      <c r="K116" s="26"/>
      <c r="L116" s="26"/>
      <c r="M116" s="26"/>
      <c r="N116" s="26"/>
      <c r="O116" s="26"/>
      <c r="P116" s="26"/>
      <c r="Q116" s="26" t="b">
        <f ca="1">IFERROR(__xludf.DUMMYFUNCTION("""COMPUTED_VALUE"""),TRUE)</f>
        <v>1</v>
      </c>
      <c r="R116" s="27"/>
      <c r="S116" s="31"/>
      <c r="T116" s="31" t="s">
        <v>81</v>
      </c>
      <c r="U116" s="31"/>
      <c r="V116" s="32" t="s">
        <v>91</v>
      </c>
      <c r="W116" s="67" t="s">
        <v>86</v>
      </c>
    </row>
    <row r="117" spans="1:23" ht="28">
      <c r="A117" s="17" t="str">
        <f ca="1">IFERROR(__xludf.DUMMYFUNCTION("""COMPUTED_VALUE"""),"GCSE")</f>
        <v>GCSE</v>
      </c>
      <c r="B117" s="17">
        <f ca="1">IFERROR(__xludf.DUMMYFUNCTION("""COMPUTED_VALUE"""),6)</f>
        <v>6</v>
      </c>
      <c r="C117" s="19" t="str">
        <f ca="1">IFERROR(__xludf.DUMMYFUNCTION("""COMPUTED_VALUE"""),"Algorithms part 1 - The essentials")</f>
        <v>Algorithms part 1 - The essentials</v>
      </c>
      <c r="D117" s="17">
        <f ca="1">IFERROR(__xludf.DUMMYFUNCTION("""COMPUTED_VALUE"""),2)</f>
        <v>2</v>
      </c>
      <c r="E117" s="19" t="str">
        <f ca="1">IFERROR(__xludf.DUMMYFUNCTION("""COMPUTED_VALUE"""),"Identify algorithms that are defined as written descriptions, flowcharts and code")</f>
        <v>Identify algorithms that are defined as written descriptions, flowcharts and code</v>
      </c>
      <c r="F117" s="30" t="b">
        <f ca="1">IFERROR(__xludf.DUMMYFUNCTION("""COMPUTED_VALUE"""),TRUE)</f>
        <v>1</v>
      </c>
      <c r="G117" s="26" t="b">
        <f ca="1">IFERROR(__xludf.DUMMYFUNCTION("""COMPUTED_VALUE"""),TRUE)</f>
        <v>1</v>
      </c>
      <c r="H117" s="27"/>
      <c r="I117" s="30" t="b">
        <f ca="1">IFERROR(__xludf.DUMMYFUNCTION("""COMPUTED_VALUE"""),TRUE)</f>
        <v>1</v>
      </c>
      <c r="J117" s="26"/>
      <c r="K117" s="26"/>
      <c r="L117" s="26"/>
      <c r="M117" s="26"/>
      <c r="N117" s="26"/>
      <c r="O117" s="26"/>
      <c r="P117" s="26"/>
      <c r="Q117" s="26"/>
      <c r="R117" s="27"/>
      <c r="S117" s="28" t="s">
        <v>28</v>
      </c>
      <c r="T117" s="28" t="s">
        <v>88</v>
      </c>
      <c r="U117" s="28" t="s">
        <v>89</v>
      </c>
      <c r="V117" s="29" t="s">
        <v>68</v>
      </c>
      <c r="W117" s="67" t="s">
        <v>86</v>
      </c>
    </row>
    <row r="118" spans="1:23" ht="28">
      <c r="A118" s="17" t="str">
        <f ca="1">IFERROR(__xludf.DUMMYFUNCTION("""COMPUTED_VALUE"""),"GCSE")</f>
        <v>GCSE</v>
      </c>
      <c r="B118" s="17">
        <f ca="1">IFERROR(__xludf.DUMMYFUNCTION("""COMPUTED_VALUE"""),6)</f>
        <v>6</v>
      </c>
      <c r="C118" s="19" t="str">
        <f ca="1">IFERROR(__xludf.DUMMYFUNCTION("""COMPUTED_VALUE"""),"Algorithms part 1 - The essentials")</f>
        <v>Algorithms part 1 - The essentials</v>
      </c>
      <c r="D118" s="17">
        <f ca="1">IFERROR(__xludf.DUMMYFUNCTION("""COMPUTED_VALUE"""),3)</f>
        <v>3</v>
      </c>
      <c r="E118" s="19" t="str">
        <f ca="1">IFERROR(__xludf.DUMMYFUNCTION("""COMPUTED_VALUE"""),"Use a trace table to detect and correct errors in a program")</f>
        <v>Use a trace table to detect and correct errors in a program</v>
      </c>
      <c r="F118" s="30" t="b">
        <f ca="1">IFERROR(__xludf.DUMMYFUNCTION("""COMPUTED_VALUE"""),TRUE)</f>
        <v>1</v>
      </c>
      <c r="G118" s="26" t="b">
        <f ca="1">IFERROR(__xludf.DUMMYFUNCTION("""COMPUTED_VALUE"""),TRUE)</f>
        <v>1</v>
      </c>
      <c r="H118" s="27"/>
      <c r="I118" s="30" t="b">
        <f ca="1">IFERROR(__xludf.DUMMYFUNCTION("""COMPUTED_VALUE"""),TRUE)</f>
        <v>1</v>
      </c>
      <c r="J118" s="26"/>
      <c r="K118" s="26"/>
      <c r="L118" s="26"/>
      <c r="M118" s="26"/>
      <c r="N118" s="26"/>
      <c r="O118" s="26"/>
      <c r="P118" s="26"/>
      <c r="Q118" s="26" t="b">
        <f ca="1">IFERROR(__xludf.DUMMYFUNCTION("""COMPUTED_VALUE"""),TRUE)</f>
        <v>1</v>
      </c>
      <c r="R118" s="27"/>
      <c r="S118" s="28" t="s">
        <v>28</v>
      </c>
      <c r="T118" s="28" t="s">
        <v>88</v>
      </c>
      <c r="U118" s="28" t="s">
        <v>89</v>
      </c>
      <c r="V118" s="29" t="s">
        <v>68</v>
      </c>
      <c r="W118" s="67" t="s">
        <v>86</v>
      </c>
    </row>
    <row r="119" spans="1:23" ht="28">
      <c r="A119" s="17" t="str">
        <f ca="1">IFERROR(__xludf.DUMMYFUNCTION("""COMPUTED_VALUE"""),"GCSE")</f>
        <v>GCSE</v>
      </c>
      <c r="B119" s="17">
        <f ca="1">IFERROR(__xludf.DUMMYFUNCTION("""COMPUTED_VALUE"""),6)</f>
        <v>6</v>
      </c>
      <c r="C119" s="19" t="str">
        <f ca="1">IFERROR(__xludf.DUMMYFUNCTION("""COMPUTED_VALUE"""),"Algorithms part 1 - The essentials")</f>
        <v>Algorithms part 1 - The essentials</v>
      </c>
      <c r="D119" s="17">
        <f ca="1">IFERROR(__xludf.DUMMYFUNCTION("""COMPUTED_VALUE"""),3)</f>
        <v>3</v>
      </c>
      <c r="E119" s="19" t="str">
        <f ca="1">IFERROR(__xludf.DUMMYFUNCTION("""COMPUTED_VALUE"""),"Use a trace table to walk through code that contains a while loop, a for loop and a list of items")</f>
        <v>Use a trace table to walk through code that contains a while loop, a for loop and a list of items</v>
      </c>
      <c r="F119" s="30" t="b">
        <f ca="1">IFERROR(__xludf.DUMMYFUNCTION("""COMPUTED_VALUE"""),TRUE)</f>
        <v>1</v>
      </c>
      <c r="G119" s="26" t="b">
        <f ca="1">IFERROR(__xludf.DUMMYFUNCTION("""COMPUTED_VALUE"""),TRUE)</f>
        <v>1</v>
      </c>
      <c r="H119" s="27"/>
      <c r="I119" s="30" t="b">
        <f ca="1">IFERROR(__xludf.DUMMYFUNCTION("""COMPUTED_VALUE"""),TRUE)</f>
        <v>1</v>
      </c>
      <c r="J119" s="26"/>
      <c r="K119" s="26"/>
      <c r="L119" s="26"/>
      <c r="M119" s="26"/>
      <c r="N119" s="26"/>
      <c r="O119" s="26"/>
      <c r="P119" s="26"/>
      <c r="Q119" s="26"/>
      <c r="R119" s="27"/>
      <c r="S119" s="31" t="s">
        <v>28</v>
      </c>
      <c r="T119" s="31"/>
      <c r="U119" s="31" t="s">
        <v>89</v>
      </c>
      <c r="V119" s="32" t="s">
        <v>68</v>
      </c>
      <c r="W119" s="67" t="s">
        <v>86</v>
      </c>
    </row>
    <row r="120" spans="1:23" ht="28">
      <c r="A120" s="17" t="str">
        <f ca="1">IFERROR(__xludf.DUMMYFUNCTION("""COMPUTED_VALUE"""),"GCSE")</f>
        <v>GCSE</v>
      </c>
      <c r="B120" s="17">
        <f ca="1">IFERROR(__xludf.DUMMYFUNCTION("""COMPUTED_VALUE"""),7)</f>
        <v>7</v>
      </c>
      <c r="C120" s="19" t="str">
        <f ca="1">IFERROR(__xludf.DUMMYFUNCTION("""COMPUTED_VALUE"""),"Programming part 5 - Strings and lists")</f>
        <v>Programming part 5 - Strings and lists</v>
      </c>
      <c r="D120" s="17">
        <f ca="1">IFERROR(__xludf.DUMMYFUNCTION("""COMPUTED_VALUE"""),25)</f>
        <v>25</v>
      </c>
      <c r="E120" s="19" t="str">
        <f ca="1">IFERROR(__xludf.DUMMYFUNCTION("""COMPUTED_VALUE"""),"Define the term GUI")</f>
        <v>Define the term GUI</v>
      </c>
      <c r="F120" s="30" t="b">
        <f ca="1">IFERROR(__xludf.DUMMYFUNCTION("""COMPUTED_VALUE"""),TRUE)</f>
        <v>1</v>
      </c>
      <c r="G120" s="26" t="b">
        <f ca="1">IFERROR(__xludf.DUMMYFUNCTION("""COMPUTED_VALUE"""),TRUE)</f>
        <v>1</v>
      </c>
      <c r="H120" s="27"/>
      <c r="I120" s="30"/>
      <c r="J120" s="26"/>
      <c r="K120" s="26" t="b">
        <f ca="1">IFERROR(__xludf.DUMMYFUNCTION("""COMPUTED_VALUE"""),TRUE)</f>
        <v>1</v>
      </c>
      <c r="L120" s="26"/>
      <c r="M120" s="26"/>
      <c r="N120" s="26"/>
      <c r="O120" s="26"/>
      <c r="P120" s="26"/>
      <c r="Q120" s="26" t="b">
        <f ca="1">IFERROR(__xludf.DUMMYFUNCTION("""COMPUTED_VALUE"""),TRUE)</f>
        <v>1</v>
      </c>
      <c r="R120" s="27"/>
      <c r="S120" s="28" t="s">
        <v>28</v>
      </c>
      <c r="T120" s="28" t="s">
        <v>88</v>
      </c>
      <c r="U120" s="28" t="s">
        <v>89</v>
      </c>
      <c r="V120" s="29" t="s">
        <v>68</v>
      </c>
      <c r="W120" s="67" t="s">
        <v>86</v>
      </c>
    </row>
    <row r="121" spans="1:23" ht="28">
      <c r="A121" s="17" t="str">
        <f ca="1">IFERROR(__xludf.DUMMYFUNCTION("""COMPUTED_VALUE"""),"GCSE")</f>
        <v>GCSE</v>
      </c>
      <c r="B121" s="17">
        <f ca="1">IFERROR(__xludf.DUMMYFUNCTION("""COMPUTED_VALUE"""),7)</f>
        <v>7</v>
      </c>
      <c r="C121" s="19" t="str">
        <f ca="1">IFERROR(__xludf.DUMMYFUNCTION("""COMPUTED_VALUE"""),"Programming part 5 - Strings and lists")</f>
        <v>Programming part 5 - Strings and lists</v>
      </c>
      <c r="D121" s="17">
        <f ca="1">IFERROR(__xludf.DUMMYFUNCTION("""COMPUTED_VALUE"""),25)</f>
        <v>25</v>
      </c>
      <c r="E121" s="19" t="str">
        <f ca="1">IFERROR(__xludf.DUMMYFUNCTION("""COMPUTED_VALUE"""),"Import third-party libraries")</f>
        <v>Import third-party libraries</v>
      </c>
      <c r="F121" s="30" t="b">
        <f ca="1">IFERROR(__xludf.DUMMYFUNCTION("""COMPUTED_VALUE"""),TRUE)</f>
        <v>1</v>
      </c>
      <c r="G121" s="26" t="b">
        <f ca="1">IFERROR(__xludf.DUMMYFUNCTION("""COMPUTED_VALUE"""),TRUE)</f>
        <v>1</v>
      </c>
      <c r="H121" s="27"/>
      <c r="I121" s="30"/>
      <c r="J121" s="26"/>
      <c r="K121" s="26"/>
      <c r="L121" s="26"/>
      <c r="M121" s="26"/>
      <c r="N121" s="26" t="b">
        <f ca="1">IFERROR(__xludf.DUMMYFUNCTION("""COMPUTED_VALUE"""),TRUE)</f>
        <v>1</v>
      </c>
      <c r="O121" s="26"/>
      <c r="P121" s="26"/>
      <c r="Q121" s="26" t="b">
        <f ca="1">IFERROR(__xludf.DUMMYFUNCTION("""COMPUTED_VALUE"""),TRUE)</f>
        <v>1</v>
      </c>
      <c r="R121" s="27"/>
      <c r="S121" s="28" t="s">
        <v>28</v>
      </c>
      <c r="T121" s="28" t="s">
        <v>88</v>
      </c>
      <c r="U121" s="28" t="s">
        <v>89</v>
      </c>
      <c r="V121" s="29" t="s">
        <v>68</v>
      </c>
      <c r="W121" s="67" t="s">
        <v>86</v>
      </c>
    </row>
    <row r="122" spans="1:23" ht="28">
      <c r="A122" s="17" t="str">
        <f ca="1">IFERROR(__xludf.DUMMYFUNCTION("""COMPUTED_VALUE"""),"GCSE")</f>
        <v>GCSE</v>
      </c>
      <c r="B122" s="17">
        <f ca="1">IFERROR(__xludf.DUMMYFUNCTION("""COMPUTED_VALUE"""),7)</f>
        <v>7</v>
      </c>
      <c r="C122" s="19" t="str">
        <f ca="1">IFERROR(__xludf.DUMMYFUNCTION("""COMPUTED_VALUE"""),"Programming part 5 - Strings and lists")</f>
        <v>Programming part 5 - Strings and lists</v>
      </c>
      <c r="D122" s="17">
        <f ca="1">IFERROR(__xludf.DUMMYFUNCTION("""COMPUTED_VALUE"""),25)</f>
        <v>25</v>
      </c>
      <c r="E122" s="19" t="str">
        <f ca="1">IFERROR(__xludf.DUMMYFUNCTION("""COMPUTED_VALUE"""),"Use guizero to create an event-driven program that uses a GUI")</f>
        <v>Use guizero to create an event-driven program that uses a GUI</v>
      </c>
      <c r="F122" s="30" t="b">
        <f ca="1">IFERROR(__xludf.DUMMYFUNCTION("""COMPUTED_VALUE"""),TRUE)</f>
        <v>1</v>
      </c>
      <c r="G122" s="26" t="b">
        <f ca="1">IFERROR(__xludf.DUMMYFUNCTION("""COMPUTED_VALUE"""),TRUE)</f>
        <v>1</v>
      </c>
      <c r="H122" s="27"/>
      <c r="I122" s="30"/>
      <c r="J122" s="26"/>
      <c r="K122" s="26"/>
      <c r="L122" s="26"/>
      <c r="M122" s="26"/>
      <c r="N122" s="26" t="b">
        <f ca="1">IFERROR(__xludf.DUMMYFUNCTION("""COMPUTED_VALUE"""),TRUE)</f>
        <v>1</v>
      </c>
      <c r="O122" s="26"/>
      <c r="P122" s="26"/>
      <c r="Q122" s="26" t="b">
        <f ca="1">IFERROR(__xludf.DUMMYFUNCTION("""COMPUTED_VALUE"""),TRUE)</f>
        <v>1</v>
      </c>
      <c r="R122" s="27"/>
      <c r="S122" s="28" t="s">
        <v>28</v>
      </c>
      <c r="T122" s="28" t="s">
        <v>88</v>
      </c>
      <c r="U122" s="28" t="s">
        <v>89</v>
      </c>
      <c r="V122" s="29" t="s">
        <v>68</v>
      </c>
      <c r="W122" s="67" t="s">
        <v>86</v>
      </c>
    </row>
    <row r="123" spans="1:23" ht="28">
      <c r="A123" s="17" t="str">
        <f ca="1">IFERROR(__xludf.DUMMYFUNCTION("""COMPUTED_VALUE"""),"GCSE")</f>
        <v>GCSE</v>
      </c>
      <c r="B123" s="17">
        <f ca="1">IFERROR(__xludf.DUMMYFUNCTION("""COMPUTED_VALUE"""),7)</f>
        <v>7</v>
      </c>
      <c r="C123" s="19" t="str">
        <f ca="1">IFERROR(__xludf.DUMMYFUNCTION("""COMPUTED_VALUE"""),"Programming part 5 - Strings and lists")</f>
        <v>Programming part 5 - Strings and lists</v>
      </c>
      <c r="D123" s="17">
        <f ca="1">IFERROR(__xludf.DUMMYFUNCTION("""COMPUTED_VALUE"""),26)</f>
        <v>26</v>
      </c>
      <c r="E123" s="19" t="str">
        <f ca="1">IFERROR(__xludf.DUMMYFUNCTION("""COMPUTED_VALUE"""),"Describe the function of string operators")</f>
        <v>Describe the function of string operators</v>
      </c>
      <c r="F123" s="30" t="b">
        <f ca="1">IFERROR(__xludf.DUMMYFUNCTION("""COMPUTED_VALUE"""),TRUE)</f>
        <v>1</v>
      </c>
      <c r="G123" s="26" t="b">
        <f ca="1">IFERROR(__xludf.DUMMYFUNCTION("""COMPUTED_VALUE"""),TRUE)</f>
        <v>1</v>
      </c>
      <c r="H123" s="27"/>
      <c r="I123" s="30"/>
      <c r="J123" s="26"/>
      <c r="K123" s="26"/>
      <c r="L123" s="26"/>
      <c r="M123" s="26"/>
      <c r="N123" s="26"/>
      <c r="O123" s="26"/>
      <c r="P123" s="26"/>
      <c r="Q123" s="26" t="b">
        <f ca="1">IFERROR(__xludf.DUMMYFUNCTION("""COMPUTED_VALUE"""),TRUE)</f>
        <v>1</v>
      </c>
      <c r="R123" s="27"/>
      <c r="S123" s="31" t="s">
        <v>28</v>
      </c>
      <c r="T123" s="31" t="s">
        <v>88</v>
      </c>
      <c r="U123" s="31" t="s">
        <v>89</v>
      </c>
      <c r="V123" s="32" t="s">
        <v>68</v>
      </c>
      <c r="W123" s="67" t="s">
        <v>86</v>
      </c>
    </row>
    <row r="124" spans="1:23" ht="28">
      <c r="A124" s="17" t="str">
        <f ca="1">IFERROR(__xludf.DUMMYFUNCTION("""COMPUTED_VALUE"""),"GCSE")</f>
        <v>GCSE</v>
      </c>
      <c r="B124" s="17">
        <f ca="1">IFERROR(__xludf.DUMMYFUNCTION("""COMPUTED_VALUE"""),7)</f>
        <v>7</v>
      </c>
      <c r="C124" s="19" t="str">
        <f ca="1">IFERROR(__xludf.DUMMYFUNCTION("""COMPUTED_VALUE"""),"Programming part 5 - Strings and lists")</f>
        <v>Programming part 5 - Strings and lists</v>
      </c>
      <c r="D124" s="17">
        <f ca="1">IFERROR(__xludf.DUMMYFUNCTION("""COMPUTED_VALUE"""),26)</f>
        <v>26</v>
      </c>
      <c r="E124" s="19" t="str">
        <f ca="1">IFERROR(__xludf.DUMMYFUNCTION("""COMPUTED_VALUE"""),"Use for loops with string operations")</f>
        <v>Use for loops with string operations</v>
      </c>
      <c r="F124" s="30" t="b">
        <f ca="1">IFERROR(__xludf.DUMMYFUNCTION("""COMPUTED_VALUE"""),TRUE)</f>
        <v>1</v>
      </c>
      <c r="G124" s="26" t="b">
        <f ca="1">IFERROR(__xludf.DUMMYFUNCTION("""COMPUTED_VALUE"""),TRUE)</f>
        <v>1</v>
      </c>
      <c r="H124" s="27"/>
      <c r="I124" s="30"/>
      <c r="J124" s="26"/>
      <c r="K124" s="26"/>
      <c r="L124" s="26"/>
      <c r="M124" s="26"/>
      <c r="N124" s="26"/>
      <c r="O124" s="26"/>
      <c r="P124" s="26"/>
      <c r="Q124" s="26" t="b">
        <f ca="1">IFERROR(__xludf.DUMMYFUNCTION("""COMPUTED_VALUE"""),TRUE)</f>
        <v>1</v>
      </c>
      <c r="R124" s="27"/>
      <c r="S124" s="28"/>
      <c r="T124" s="28"/>
      <c r="U124" s="28" t="s">
        <v>89</v>
      </c>
      <c r="V124" s="29" t="s">
        <v>68</v>
      </c>
      <c r="W124" s="67"/>
    </row>
    <row r="125" spans="1:23" ht="28">
      <c r="A125" s="17" t="str">
        <f ca="1">IFERROR(__xludf.DUMMYFUNCTION("""COMPUTED_VALUE"""),"GCSE")</f>
        <v>GCSE</v>
      </c>
      <c r="B125" s="17">
        <f ca="1">IFERROR(__xludf.DUMMYFUNCTION("""COMPUTED_VALUE"""),7)</f>
        <v>7</v>
      </c>
      <c r="C125" s="19" t="str">
        <f ca="1">IFERROR(__xludf.DUMMYFUNCTION("""COMPUTED_VALUE"""),"Programming part 5 - Strings and lists")</f>
        <v>Programming part 5 - Strings and lists</v>
      </c>
      <c r="D125" s="17">
        <f ca="1">IFERROR(__xludf.DUMMYFUNCTION("""COMPUTED_VALUE"""),26)</f>
        <v>26</v>
      </c>
      <c r="E125" s="19" t="str">
        <f ca="1">IFERROR(__xludf.DUMMYFUNCTION("""COMPUTED_VALUE"""),"Use string handling techniques")</f>
        <v>Use string handling techniques</v>
      </c>
      <c r="F125" s="30" t="b">
        <f ca="1">IFERROR(__xludf.DUMMYFUNCTION("""COMPUTED_VALUE"""),TRUE)</f>
        <v>1</v>
      </c>
      <c r="G125" s="26" t="b">
        <f ca="1">IFERROR(__xludf.DUMMYFUNCTION("""COMPUTED_VALUE"""),TRUE)</f>
        <v>1</v>
      </c>
      <c r="H125" s="27"/>
      <c r="I125" s="30"/>
      <c r="J125" s="26"/>
      <c r="K125" s="26"/>
      <c r="L125" s="26"/>
      <c r="M125" s="26"/>
      <c r="N125" s="26"/>
      <c r="O125" s="26"/>
      <c r="P125" s="26"/>
      <c r="Q125" s="26" t="b">
        <f ca="1">IFERROR(__xludf.DUMMYFUNCTION("""COMPUTED_VALUE"""),TRUE)</f>
        <v>1</v>
      </c>
      <c r="R125" s="27"/>
      <c r="S125" s="28" t="s">
        <v>28</v>
      </c>
      <c r="T125" s="28" t="s">
        <v>90</v>
      </c>
      <c r="U125" s="28" t="s">
        <v>89</v>
      </c>
      <c r="V125" s="29"/>
      <c r="W125" s="67"/>
    </row>
    <row r="126" spans="1:23" ht="28">
      <c r="A126" s="17" t="str">
        <f ca="1">IFERROR(__xludf.DUMMYFUNCTION("""COMPUTED_VALUE"""),"GCSE")</f>
        <v>GCSE</v>
      </c>
      <c r="B126" s="17">
        <f ca="1">IFERROR(__xludf.DUMMYFUNCTION("""COMPUTED_VALUE"""),7)</f>
        <v>7</v>
      </c>
      <c r="C126" s="19" t="str">
        <f ca="1">IFERROR(__xludf.DUMMYFUNCTION("""COMPUTED_VALUE"""),"Programming part 5 - Strings and lists")</f>
        <v>Programming part 5 - Strings and lists</v>
      </c>
      <c r="D126" s="17">
        <f ca="1">IFERROR(__xludf.DUMMYFUNCTION("""COMPUTED_VALUE"""),27)</f>
        <v>27</v>
      </c>
      <c r="E126" s="19" t="str">
        <f ca="1">IFERROR(__xludf.DUMMYFUNCTION("""COMPUTED_VALUE"""),"Use a substring in a program")</f>
        <v>Use a substring in a program</v>
      </c>
      <c r="F126" s="30" t="b">
        <f ca="1">IFERROR(__xludf.DUMMYFUNCTION("""COMPUTED_VALUE"""),TRUE)</f>
        <v>1</v>
      </c>
      <c r="G126" s="26" t="b">
        <f ca="1">IFERROR(__xludf.DUMMYFUNCTION("""COMPUTED_VALUE"""),TRUE)</f>
        <v>1</v>
      </c>
      <c r="H126" s="27"/>
      <c r="I126" s="30"/>
      <c r="J126" s="26"/>
      <c r="K126" s="26"/>
      <c r="L126" s="26"/>
      <c r="M126" s="26"/>
      <c r="N126" s="26"/>
      <c r="O126" s="26"/>
      <c r="P126" s="26"/>
      <c r="Q126" s="26" t="b">
        <f ca="1">IFERROR(__xludf.DUMMYFUNCTION("""COMPUTED_VALUE"""),TRUE)</f>
        <v>1</v>
      </c>
      <c r="R126" s="27"/>
      <c r="S126" s="28" t="s">
        <v>66</v>
      </c>
      <c r="T126" s="28" t="s">
        <v>25</v>
      </c>
      <c r="U126" s="28" t="s">
        <v>89</v>
      </c>
      <c r="V126" s="29" t="s">
        <v>69</v>
      </c>
      <c r="W126" s="67"/>
    </row>
    <row r="127" spans="1:23" ht="28">
      <c r="A127" s="17" t="str">
        <f ca="1">IFERROR(__xludf.DUMMYFUNCTION("""COMPUTED_VALUE"""),"GCSE")</f>
        <v>GCSE</v>
      </c>
      <c r="B127" s="17">
        <f ca="1">IFERROR(__xludf.DUMMYFUNCTION("""COMPUTED_VALUE"""),7)</f>
        <v>7</v>
      </c>
      <c r="C127" s="19" t="str">
        <f ca="1">IFERROR(__xludf.DUMMYFUNCTION("""COMPUTED_VALUE"""),"Programming part 5 - Strings and lists")</f>
        <v>Programming part 5 - Strings and lists</v>
      </c>
      <c r="D127" s="17">
        <f ca="1">IFERROR(__xludf.DUMMYFUNCTION("""COMPUTED_VALUE"""),27)</f>
        <v>27</v>
      </c>
      <c r="E127" s="19" t="str">
        <f ca="1">IFERROR(__xludf.DUMMYFUNCTION("""COMPUTED_VALUE"""),"Use chr() and ord() to perform ASCII conversions")</f>
        <v>Use chr() and ord() to perform ASCII conversions</v>
      </c>
      <c r="F127" s="30" t="b">
        <f ca="1">IFERROR(__xludf.DUMMYFUNCTION("""COMPUTED_VALUE"""),TRUE)</f>
        <v>1</v>
      </c>
      <c r="G127" s="26" t="b">
        <f ca="1">IFERROR(__xludf.DUMMYFUNCTION("""COMPUTED_VALUE"""),TRUE)</f>
        <v>1</v>
      </c>
      <c r="H127" s="27"/>
      <c r="I127" s="30"/>
      <c r="J127" s="26"/>
      <c r="K127" s="26"/>
      <c r="L127" s="26"/>
      <c r="M127" s="26" t="b">
        <f ca="1">IFERROR(__xludf.DUMMYFUNCTION("""COMPUTED_VALUE"""),TRUE)</f>
        <v>1</v>
      </c>
      <c r="N127" s="26"/>
      <c r="O127" s="26"/>
      <c r="P127" s="26"/>
      <c r="Q127" s="26" t="b">
        <f ca="1">IFERROR(__xludf.DUMMYFUNCTION("""COMPUTED_VALUE"""),TRUE)</f>
        <v>1</v>
      </c>
      <c r="R127" s="27"/>
      <c r="S127" s="28" t="s">
        <v>66</v>
      </c>
      <c r="T127" s="28" t="s">
        <v>25</v>
      </c>
      <c r="U127" s="28" t="s">
        <v>89</v>
      </c>
      <c r="V127" s="29" t="s">
        <v>69</v>
      </c>
      <c r="W127" s="67"/>
    </row>
    <row r="128" spans="1:23" ht="28">
      <c r="A128" s="17" t="str">
        <f ca="1">IFERROR(__xludf.DUMMYFUNCTION("""COMPUTED_VALUE"""),"GCSE")</f>
        <v>GCSE</v>
      </c>
      <c r="B128" s="17">
        <f ca="1">IFERROR(__xludf.DUMMYFUNCTION("""COMPUTED_VALUE"""),7)</f>
        <v>7</v>
      </c>
      <c r="C128" s="19" t="str">
        <f ca="1">IFERROR(__xludf.DUMMYFUNCTION("""COMPUTED_VALUE"""),"Programming part 5 - Strings and lists")</f>
        <v>Programming part 5 - Strings and lists</v>
      </c>
      <c r="D128" s="17">
        <f ca="1">IFERROR(__xludf.DUMMYFUNCTION("""COMPUTED_VALUE"""),27)</f>
        <v>27</v>
      </c>
      <c r="E128" s="19" t="str">
        <f ca="1">IFERROR(__xludf.DUMMYFUNCTION("""COMPUTED_VALUE"""),"Use the in operator to check for a substring")</f>
        <v>Use the in operator to check for a substring</v>
      </c>
      <c r="F128" s="30" t="b">
        <f ca="1">IFERROR(__xludf.DUMMYFUNCTION("""COMPUTED_VALUE"""),TRUE)</f>
        <v>1</v>
      </c>
      <c r="G128" s="26" t="b">
        <f ca="1">IFERROR(__xludf.DUMMYFUNCTION("""COMPUTED_VALUE"""),TRUE)</f>
        <v>1</v>
      </c>
      <c r="H128" s="27"/>
      <c r="I128" s="30"/>
      <c r="J128" s="26"/>
      <c r="K128" s="26"/>
      <c r="L128" s="26"/>
      <c r="M128" s="26"/>
      <c r="N128" s="26"/>
      <c r="O128" s="26"/>
      <c r="P128" s="26"/>
      <c r="Q128" s="26" t="b">
        <f ca="1">IFERROR(__xludf.DUMMYFUNCTION("""COMPUTED_VALUE"""),TRUE)</f>
        <v>1</v>
      </c>
      <c r="R128" s="27"/>
      <c r="S128" s="28" t="s">
        <v>66</v>
      </c>
      <c r="T128" s="28" t="s">
        <v>25</v>
      </c>
      <c r="U128" s="28" t="s">
        <v>89</v>
      </c>
      <c r="V128" s="29" t="s">
        <v>69</v>
      </c>
      <c r="W128" s="67"/>
    </row>
    <row r="129" spans="1:23" ht="28">
      <c r="A129" s="17" t="str">
        <f ca="1">IFERROR(__xludf.DUMMYFUNCTION("""COMPUTED_VALUE"""),"GCSE")</f>
        <v>GCSE</v>
      </c>
      <c r="B129" s="17">
        <f ca="1">IFERROR(__xludf.DUMMYFUNCTION("""COMPUTED_VALUE"""),7)</f>
        <v>7</v>
      </c>
      <c r="C129" s="19" t="str">
        <f ca="1">IFERROR(__xludf.DUMMYFUNCTION("""COMPUTED_VALUE"""),"Programming part 5 - Strings and lists")</f>
        <v>Programming part 5 - Strings and lists</v>
      </c>
      <c r="D129" s="17">
        <f ca="1">IFERROR(__xludf.DUMMYFUNCTION("""COMPUTED_VALUE"""),28)</f>
        <v>28</v>
      </c>
      <c r="E129" s="19" t="str">
        <f ca="1">IFERROR(__xludf.DUMMYFUNCTION("""COMPUTED_VALUE"""),"Create a program that uses string handling techniques")</f>
        <v>Create a program that uses string handling techniques</v>
      </c>
      <c r="F129" s="30" t="b">
        <f ca="1">IFERROR(__xludf.DUMMYFUNCTION("""COMPUTED_VALUE"""),TRUE)</f>
        <v>1</v>
      </c>
      <c r="G129" s="26" t="b">
        <f ca="1">IFERROR(__xludf.DUMMYFUNCTION("""COMPUTED_VALUE"""),TRUE)</f>
        <v>1</v>
      </c>
      <c r="H129" s="27"/>
      <c r="I129" s="30"/>
      <c r="J129" s="26"/>
      <c r="K129" s="26"/>
      <c r="L129" s="26"/>
      <c r="M129" s="26"/>
      <c r="N129" s="26"/>
      <c r="O129" s="26"/>
      <c r="P129" s="26"/>
      <c r="Q129" s="26" t="b">
        <f ca="1">IFERROR(__xludf.DUMMYFUNCTION("""COMPUTED_VALUE"""),TRUE)</f>
        <v>1</v>
      </c>
      <c r="R129" s="27"/>
      <c r="S129" s="28"/>
      <c r="T129" s="28"/>
      <c r="U129" s="28" t="s">
        <v>89</v>
      </c>
      <c r="V129" s="29" t="s">
        <v>69</v>
      </c>
      <c r="W129" s="67"/>
    </row>
    <row r="130" spans="1:23" ht="28">
      <c r="A130" s="17" t="str">
        <f ca="1">IFERROR(__xludf.DUMMYFUNCTION("""COMPUTED_VALUE"""),"GCSE")</f>
        <v>GCSE</v>
      </c>
      <c r="B130" s="17">
        <f ca="1">IFERROR(__xludf.DUMMYFUNCTION("""COMPUTED_VALUE"""),7)</f>
        <v>7</v>
      </c>
      <c r="C130" s="19" t="str">
        <f ca="1">IFERROR(__xludf.DUMMYFUNCTION("""COMPUTED_VALUE"""),"Programming part 5 - Strings and lists")</f>
        <v>Programming part 5 - Strings and lists</v>
      </c>
      <c r="D130" s="17">
        <f ca="1">IFERROR(__xludf.DUMMYFUNCTION("""COMPUTED_VALUE"""),29)</f>
        <v>29</v>
      </c>
      <c r="E130" s="19" t="str">
        <f ca="1">IFERROR(__xludf.DUMMYFUNCTION("""COMPUTED_VALUE"""),"Append to a list")</f>
        <v>Append to a list</v>
      </c>
      <c r="F130" s="30" t="b">
        <f ca="1">IFERROR(__xludf.DUMMYFUNCTION("""COMPUTED_VALUE"""),TRUE)</f>
        <v>1</v>
      </c>
      <c r="G130" s="26" t="b">
        <f ca="1">IFERROR(__xludf.DUMMYFUNCTION("""COMPUTED_VALUE"""),TRUE)</f>
        <v>1</v>
      </c>
      <c r="H130" s="27"/>
      <c r="I130" s="30"/>
      <c r="J130" s="26"/>
      <c r="K130" s="26"/>
      <c r="L130" s="26"/>
      <c r="M130" s="26"/>
      <c r="N130" s="26"/>
      <c r="O130" s="26"/>
      <c r="P130" s="26"/>
      <c r="Q130" s="26" t="b">
        <f ca="1">IFERROR(__xludf.DUMMYFUNCTION("""COMPUTED_VALUE"""),TRUE)</f>
        <v>1</v>
      </c>
      <c r="R130" s="27"/>
      <c r="S130" s="28"/>
      <c r="T130" s="28"/>
      <c r="U130" s="28"/>
      <c r="V130" s="29"/>
      <c r="W130" s="67"/>
    </row>
    <row r="131" spans="1:23" ht="28">
      <c r="A131" s="17" t="str">
        <f ca="1">IFERROR(__xludf.DUMMYFUNCTION("""COMPUTED_VALUE"""),"GCSE")</f>
        <v>GCSE</v>
      </c>
      <c r="B131" s="17">
        <f ca="1">IFERROR(__xludf.DUMMYFUNCTION("""COMPUTED_VALUE"""),7)</f>
        <v>7</v>
      </c>
      <c r="C131" s="19" t="str">
        <f ca="1">IFERROR(__xludf.DUMMYFUNCTION("""COMPUTED_VALUE"""),"Programming part 5 - Strings and lists")</f>
        <v>Programming part 5 - Strings and lists</v>
      </c>
      <c r="D131" s="17">
        <f ca="1">IFERROR(__xludf.DUMMYFUNCTION("""COMPUTED_VALUE"""),29)</f>
        <v>29</v>
      </c>
      <c r="E131" s="19" t="str">
        <f ca="1">IFERROR(__xludf.DUMMYFUNCTION("""COMPUTED_VALUE"""),"Define a data structure")</f>
        <v>Define a data structure</v>
      </c>
      <c r="F131" s="30" t="b">
        <f ca="1">IFERROR(__xludf.DUMMYFUNCTION("""COMPUTED_VALUE"""),TRUE)</f>
        <v>1</v>
      </c>
      <c r="G131" s="26" t="b">
        <f ca="1">IFERROR(__xludf.DUMMYFUNCTION("""COMPUTED_VALUE"""),TRUE)</f>
        <v>1</v>
      </c>
      <c r="H131" s="27"/>
      <c r="I131" s="30"/>
      <c r="J131" s="26"/>
      <c r="K131" s="26"/>
      <c r="L131" s="26"/>
      <c r="M131" s="26" t="b">
        <f ca="1">IFERROR(__xludf.DUMMYFUNCTION("""COMPUTED_VALUE"""),TRUE)</f>
        <v>1</v>
      </c>
      <c r="N131" s="26"/>
      <c r="O131" s="26"/>
      <c r="P131" s="26"/>
      <c r="Q131" s="26" t="b">
        <f ca="1">IFERROR(__xludf.DUMMYFUNCTION("""COMPUTED_VALUE"""),TRUE)</f>
        <v>1</v>
      </c>
      <c r="R131" s="27"/>
      <c r="S131" s="28" t="s">
        <v>28</v>
      </c>
      <c r="T131" s="28" t="s">
        <v>88</v>
      </c>
      <c r="U131" s="28" t="s">
        <v>89</v>
      </c>
      <c r="V131" s="29" t="s">
        <v>68</v>
      </c>
      <c r="W131" s="67"/>
    </row>
    <row r="132" spans="1:23" ht="28">
      <c r="A132" s="17" t="str">
        <f ca="1">IFERROR(__xludf.DUMMYFUNCTION("""COMPUTED_VALUE"""),"GCSE")</f>
        <v>GCSE</v>
      </c>
      <c r="B132" s="17">
        <f ca="1">IFERROR(__xludf.DUMMYFUNCTION("""COMPUTED_VALUE"""),7)</f>
        <v>7</v>
      </c>
      <c r="C132" s="19" t="str">
        <f ca="1">IFERROR(__xludf.DUMMYFUNCTION("""COMPUTED_VALUE"""),"Programming part 5 - Strings and lists")</f>
        <v>Programming part 5 - Strings and lists</v>
      </c>
      <c r="D132" s="17">
        <f ca="1">IFERROR(__xludf.DUMMYFUNCTION("""COMPUTED_VALUE"""),29)</f>
        <v>29</v>
      </c>
      <c r="E132" s="19" t="str">
        <f ca="1">IFERROR(__xludf.DUMMYFUNCTION("""COMPUTED_VALUE"""),"Define a list and an array")</f>
        <v>Define a list and an array</v>
      </c>
      <c r="F132" s="30" t="b">
        <f ca="1">IFERROR(__xludf.DUMMYFUNCTION("""COMPUTED_VALUE"""),TRUE)</f>
        <v>1</v>
      </c>
      <c r="G132" s="26" t="b">
        <f ca="1">IFERROR(__xludf.DUMMYFUNCTION("""COMPUTED_VALUE"""),TRUE)</f>
        <v>1</v>
      </c>
      <c r="H132" s="27"/>
      <c r="I132" s="30"/>
      <c r="J132" s="26"/>
      <c r="K132" s="26"/>
      <c r="L132" s="26"/>
      <c r="M132" s="26" t="b">
        <f ca="1">IFERROR(__xludf.DUMMYFUNCTION("""COMPUTED_VALUE"""),TRUE)</f>
        <v>1</v>
      </c>
      <c r="N132" s="26"/>
      <c r="O132" s="26"/>
      <c r="P132" s="26"/>
      <c r="Q132" s="26" t="b">
        <f ca="1">IFERROR(__xludf.DUMMYFUNCTION("""COMPUTED_VALUE"""),TRUE)</f>
        <v>1</v>
      </c>
      <c r="R132" s="27"/>
      <c r="S132" s="28" t="s">
        <v>28</v>
      </c>
      <c r="T132" s="28" t="s">
        <v>88</v>
      </c>
      <c r="U132" s="28"/>
      <c r="V132" s="29" t="s">
        <v>68</v>
      </c>
      <c r="W132" s="67"/>
    </row>
    <row r="133" spans="1:23" ht="28">
      <c r="A133" s="17" t="str">
        <f ca="1">IFERROR(__xludf.DUMMYFUNCTION("""COMPUTED_VALUE"""),"GCSE")</f>
        <v>GCSE</v>
      </c>
      <c r="B133" s="17">
        <f ca="1">IFERROR(__xludf.DUMMYFUNCTION("""COMPUTED_VALUE"""),7)</f>
        <v>7</v>
      </c>
      <c r="C133" s="19" t="str">
        <f ca="1">IFERROR(__xludf.DUMMYFUNCTION("""COMPUTED_VALUE"""),"Programming part 5 - Strings and lists")</f>
        <v>Programming part 5 - Strings and lists</v>
      </c>
      <c r="D133" s="17">
        <f ca="1">IFERROR(__xludf.DUMMYFUNCTION("""COMPUTED_VALUE"""),29)</f>
        <v>29</v>
      </c>
      <c r="E133" s="19" t="str">
        <f ca="1">IFERROR(__xludf.DUMMYFUNCTION("""COMPUTED_VALUE"""),"Describe the differences between lists and arrays")</f>
        <v>Describe the differences between lists and arrays</v>
      </c>
      <c r="F133" s="30" t="b">
        <f ca="1">IFERROR(__xludf.DUMMYFUNCTION("""COMPUTED_VALUE"""),TRUE)</f>
        <v>1</v>
      </c>
      <c r="G133" s="26" t="b">
        <f ca="1">IFERROR(__xludf.DUMMYFUNCTION("""COMPUTED_VALUE"""),TRUE)</f>
        <v>1</v>
      </c>
      <c r="H133" s="27"/>
      <c r="I133" s="30"/>
      <c r="J133" s="26"/>
      <c r="K133" s="26"/>
      <c r="L133" s="26"/>
      <c r="M133" s="26" t="b">
        <f ca="1">IFERROR(__xludf.DUMMYFUNCTION("""COMPUTED_VALUE"""),TRUE)</f>
        <v>1</v>
      </c>
      <c r="N133" s="26"/>
      <c r="O133" s="26"/>
      <c r="P133" s="26"/>
      <c r="Q133" s="26" t="b">
        <f ca="1">IFERROR(__xludf.DUMMYFUNCTION("""COMPUTED_VALUE"""),TRUE)</f>
        <v>1</v>
      </c>
      <c r="R133" s="27"/>
      <c r="S133" s="28" t="s">
        <v>28</v>
      </c>
      <c r="T133" s="28" t="s">
        <v>88</v>
      </c>
      <c r="U133" s="28" t="s">
        <v>89</v>
      </c>
      <c r="V133" s="29" t="s">
        <v>68</v>
      </c>
      <c r="W133" s="67"/>
    </row>
    <row r="134" spans="1:23" ht="28">
      <c r="A134" s="17" t="str">
        <f ca="1">IFERROR(__xludf.DUMMYFUNCTION("""COMPUTED_VALUE"""),"GCSE")</f>
        <v>GCSE</v>
      </c>
      <c r="B134" s="17">
        <f ca="1">IFERROR(__xludf.DUMMYFUNCTION("""COMPUTED_VALUE"""),7)</f>
        <v>7</v>
      </c>
      <c r="C134" s="19" t="str">
        <f ca="1">IFERROR(__xludf.DUMMYFUNCTION("""COMPUTED_VALUE"""),"Programming part 5 - Strings and lists")</f>
        <v>Programming part 5 - Strings and lists</v>
      </c>
      <c r="D134" s="17">
        <f ca="1">IFERROR(__xludf.DUMMYFUNCTION("""COMPUTED_VALUE"""),29)</f>
        <v>29</v>
      </c>
      <c r="E134" s="19" t="str">
        <f ca="1">IFERROR(__xludf.DUMMYFUNCTION("""COMPUTED_VALUE"""),"Use a list in a program")</f>
        <v>Use a list in a program</v>
      </c>
      <c r="F134" s="30" t="b">
        <f ca="1">IFERROR(__xludf.DUMMYFUNCTION("""COMPUTED_VALUE"""),TRUE)</f>
        <v>1</v>
      </c>
      <c r="G134" s="26" t="b">
        <f ca="1">IFERROR(__xludf.DUMMYFUNCTION("""COMPUTED_VALUE"""),TRUE)</f>
        <v>1</v>
      </c>
      <c r="H134" s="27"/>
      <c r="I134" s="30"/>
      <c r="J134" s="26"/>
      <c r="K134" s="26"/>
      <c r="L134" s="26"/>
      <c r="M134" s="26"/>
      <c r="N134" s="26"/>
      <c r="O134" s="26"/>
      <c r="P134" s="26"/>
      <c r="Q134" s="26" t="b">
        <f ca="1">IFERROR(__xludf.DUMMYFUNCTION("""COMPUTED_VALUE"""),TRUE)</f>
        <v>1</v>
      </c>
      <c r="R134" s="27"/>
      <c r="S134" s="28" t="s">
        <v>28</v>
      </c>
      <c r="T134" s="28" t="s">
        <v>88</v>
      </c>
      <c r="U134" s="28" t="s">
        <v>89</v>
      </c>
      <c r="V134" s="29" t="s">
        <v>68</v>
      </c>
      <c r="W134" s="67"/>
    </row>
    <row r="135" spans="1:23" ht="28">
      <c r="A135" s="17" t="str">
        <f ca="1">IFERROR(__xludf.DUMMYFUNCTION("""COMPUTED_VALUE"""),"GCSE")</f>
        <v>GCSE</v>
      </c>
      <c r="B135" s="17">
        <f ca="1">IFERROR(__xludf.DUMMYFUNCTION("""COMPUTED_VALUE"""),7)</f>
        <v>7</v>
      </c>
      <c r="C135" s="19" t="str">
        <f ca="1">IFERROR(__xludf.DUMMYFUNCTION("""COMPUTED_VALUE"""),"Programming part 5 - Strings and lists")</f>
        <v>Programming part 5 - Strings and lists</v>
      </c>
      <c r="D135" s="17">
        <f ca="1">IFERROR(__xludf.DUMMYFUNCTION("""COMPUTED_VALUE"""),30)</f>
        <v>30</v>
      </c>
      <c r="E135" s="19" t="str">
        <f ca="1">IFERROR(__xludf.DUMMYFUNCTION("""COMPUTED_VALUE"""),"Create a function that returns a list")</f>
        <v>Create a function that returns a list</v>
      </c>
      <c r="F135" s="30" t="b">
        <f ca="1">IFERROR(__xludf.DUMMYFUNCTION("""COMPUTED_VALUE"""),TRUE)</f>
        <v>1</v>
      </c>
      <c r="G135" s="26" t="b">
        <f ca="1">IFERROR(__xludf.DUMMYFUNCTION("""COMPUTED_VALUE"""),TRUE)</f>
        <v>1</v>
      </c>
      <c r="H135" s="27"/>
      <c r="I135" s="30"/>
      <c r="J135" s="26"/>
      <c r="K135" s="26"/>
      <c r="L135" s="26"/>
      <c r="M135" s="26"/>
      <c r="N135" s="26"/>
      <c r="O135" s="26"/>
      <c r="P135" s="26"/>
      <c r="Q135" s="26" t="b">
        <f ca="1">IFERROR(__xludf.DUMMYFUNCTION("""COMPUTED_VALUE"""),TRUE)</f>
        <v>1</v>
      </c>
      <c r="R135" s="27"/>
      <c r="S135" s="28"/>
      <c r="T135" s="28" t="s">
        <v>88</v>
      </c>
      <c r="U135" s="28" t="s">
        <v>89</v>
      </c>
      <c r="V135" s="29" t="s">
        <v>68</v>
      </c>
      <c r="W135" s="67"/>
    </row>
    <row r="136" spans="1:23" ht="28">
      <c r="A136" s="17" t="str">
        <f ca="1">IFERROR(__xludf.DUMMYFUNCTION("""COMPUTED_VALUE"""),"GCSE")</f>
        <v>GCSE</v>
      </c>
      <c r="B136" s="17">
        <f ca="1">IFERROR(__xludf.DUMMYFUNCTION("""COMPUTED_VALUE"""),7)</f>
        <v>7</v>
      </c>
      <c r="C136" s="19" t="str">
        <f ca="1">IFERROR(__xludf.DUMMYFUNCTION("""COMPUTED_VALUE"""),"Programming part 5 - Strings and lists")</f>
        <v>Programming part 5 - Strings and lists</v>
      </c>
      <c r="D136" s="17">
        <f ca="1">IFERROR(__xludf.DUMMYFUNCTION("""COMPUTED_VALUE"""),30)</f>
        <v>30</v>
      </c>
      <c r="E136" s="19" t="str">
        <f ca="1">IFERROR(__xludf.DUMMYFUNCTION("""COMPUTED_VALUE"""),"Import custom built functions")</f>
        <v>Import custom built functions</v>
      </c>
      <c r="F136" s="30" t="b">
        <f ca="1">IFERROR(__xludf.DUMMYFUNCTION("""COMPUTED_VALUE"""),TRUE)</f>
        <v>1</v>
      </c>
      <c r="G136" s="26" t="b">
        <f ca="1">IFERROR(__xludf.DUMMYFUNCTION("""COMPUTED_VALUE"""),TRUE)</f>
        <v>1</v>
      </c>
      <c r="H136" s="27"/>
      <c r="I136" s="30"/>
      <c r="J136" s="26"/>
      <c r="K136" s="26"/>
      <c r="L136" s="26"/>
      <c r="M136" s="26"/>
      <c r="N136" s="26"/>
      <c r="O136" s="26"/>
      <c r="P136" s="26"/>
      <c r="Q136" s="26" t="b">
        <f ca="1">IFERROR(__xludf.DUMMYFUNCTION("""COMPUTED_VALUE"""),TRUE)</f>
        <v>1</v>
      </c>
      <c r="R136" s="27"/>
      <c r="S136" s="31" t="s">
        <v>28</v>
      </c>
      <c r="T136" s="31" t="s">
        <v>88</v>
      </c>
      <c r="U136" s="31" t="s">
        <v>89</v>
      </c>
      <c r="V136" s="32" t="s">
        <v>68</v>
      </c>
      <c r="W136" s="67"/>
    </row>
    <row r="137" spans="1:23" ht="28">
      <c r="A137" s="17" t="str">
        <f ca="1">IFERROR(__xludf.DUMMYFUNCTION("""COMPUTED_VALUE"""),"GCSE")</f>
        <v>GCSE</v>
      </c>
      <c r="B137" s="17">
        <f ca="1">IFERROR(__xludf.DUMMYFUNCTION("""COMPUTED_VALUE"""),7)</f>
        <v>7</v>
      </c>
      <c r="C137" s="19" t="str">
        <f ca="1">IFERROR(__xludf.DUMMYFUNCTION("""COMPUTED_VALUE"""),"Programming part 5 - Strings and lists")</f>
        <v>Programming part 5 - Strings and lists</v>
      </c>
      <c r="D137" s="17">
        <f ca="1">IFERROR(__xludf.DUMMYFUNCTION("""COMPUTED_VALUE"""),30)</f>
        <v>30</v>
      </c>
      <c r="E137" s="19" t="str">
        <f ca="1">IFERROR(__xludf.DUMMYFUNCTION("""COMPUTED_VALUE"""),"Traverse a list of elements")</f>
        <v>Traverse a list of elements</v>
      </c>
      <c r="F137" s="30" t="b">
        <f ca="1">IFERROR(__xludf.DUMMYFUNCTION("""COMPUTED_VALUE"""),TRUE)</f>
        <v>1</v>
      </c>
      <c r="G137" s="26" t="b">
        <f ca="1">IFERROR(__xludf.DUMMYFUNCTION("""COMPUTED_VALUE"""),TRUE)</f>
        <v>1</v>
      </c>
      <c r="H137" s="27"/>
      <c r="I137" s="30" t="b">
        <f ca="1">IFERROR(__xludf.DUMMYFUNCTION("""COMPUTED_VALUE"""),TRUE)</f>
        <v>1</v>
      </c>
      <c r="J137" s="26"/>
      <c r="K137" s="26"/>
      <c r="L137" s="26"/>
      <c r="M137" s="26" t="b">
        <f ca="1">IFERROR(__xludf.DUMMYFUNCTION("""COMPUTED_VALUE"""),TRUE)</f>
        <v>1</v>
      </c>
      <c r="N137" s="26"/>
      <c r="O137" s="26"/>
      <c r="P137" s="26"/>
      <c r="Q137" s="26" t="b">
        <f ca="1">IFERROR(__xludf.DUMMYFUNCTION("""COMPUTED_VALUE"""),TRUE)</f>
        <v>1</v>
      </c>
      <c r="R137" s="27"/>
      <c r="S137" s="28" t="s">
        <v>28</v>
      </c>
      <c r="T137" s="28" t="s">
        <v>88</v>
      </c>
      <c r="U137" s="28" t="s">
        <v>89</v>
      </c>
      <c r="V137" s="29" t="s">
        <v>69</v>
      </c>
      <c r="W137" s="67"/>
    </row>
    <row r="138" spans="1:23" ht="28">
      <c r="A138" s="17" t="str">
        <f ca="1">IFERROR(__xludf.DUMMYFUNCTION("""COMPUTED_VALUE"""),"GCSE")</f>
        <v>GCSE</v>
      </c>
      <c r="B138" s="17">
        <f ca="1">IFERROR(__xludf.DUMMYFUNCTION("""COMPUTED_VALUE"""),7)</f>
        <v>7</v>
      </c>
      <c r="C138" s="19" t="str">
        <f ca="1">IFERROR(__xludf.DUMMYFUNCTION("""COMPUTED_VALUE"""),"Programming part 5 - Strings and lists")</f>
        <v>Programming part 5 - Strings and lists</v>
      </c>
      <c r="D138" s="17">
        <f ca="1">IFERROR(__xludf.DUMMYFUNCTION("""COMPUTED_VALUE"""),30)</f>
        <v>30</v>
      </c>
      <c r="E138" s="19" t="str">
        <f ca="1">IFERROR(__xludf.DUMMYFUNCTION("""COMPUTED_VALUE"""),"Use list methods")</f>
        <v>Use list methods</v>
      </c>
      <c r="F138" s="30" t="b">
        <f ca="1">IFERROR(__xludf.DUMMYFUNCTION("""COMPUTED_VALUE"""),TRUE)</f>
        <v>1</v>
      </c>
      <c r="G138" s="26" t="b">
        <f ca="1">IFERROR(__xludf.DUMMYFUNCTION("""COMPUTED_VALUE"""),TRUE)</f>
        <v>1</v>
      </c>
      <c r="H138" s="27"/>
      <c r="I138" s="30"/>
      <c r="J138" s="26"/>
      <c r="K138" s="26"/>
      <c r="L138" s="26"/>
      <c r="M138" s="26"/>
      <c r="N138" s="26"/>
      <c r="O138" s="26"/>
      <c r="P138" s="26"/>
      <c r="Q138" s="26" t="b">
        <f ca="1">IFERROR(__xludf.DUMMYFUNCTION("""COMPUTED_VALUE"""),TRUE)</f>
        <v>1</v>
      </c>
      <c r="R138" s="27"/>
      <c r="S138" s="28" t="s">
        <v>28</v>
      </c>
      <c r="T138" s="28" t="s">
        <v>88</v>
      </c>
      <c r="U138" s="28" t="s">
        <v>89</v>
      </c>
      <c r="V138" s="29" t="s">
        <v>68</v>
      </c>
      <c r="W138" s="67"/>
    </row>
    <row r="139" spans="1:23" ht="28">
      <c r="A139" s="17" t="str">
        <f ca="1">IFERROR(__xludf.DUMMYFUNCTION("""COMPUTED_VALUE"""),"GCSE")</f>
        <v>GCSE</v>
      </c>
      <c r="B139" s="17">
        <f ca="1">IFERROR(__xludf.DUMMYFUNCTION("""COMPUTED_VALUE"""),7)</f>
        <v>7</v>
      </c>
      <c r="C139" s="19" t="str">
        <f ca="1">IFERROR(__xludf.DUMMYFUNCTION("""COMPUTED_VALUE"""),"Programming part 5 - Strings and lists")</f>
        <v>Programming part 5 - Strings and lists</v>
      </c>
      <c r="D139" s="17">
        <f ca="1">IFERROR(__xludf.DUMMYFUNCTION("""COMPUTED_VALUE"""),31)</f>
        <v>31</v>
      </c>
      <c r="E139" s="19" t="str">
        <f ca="1">IFERROR(__xludf.DUMMYFUNCTION("""COMPUTED_VALUE"""),"Use lists to display output on a physical computing device")</f>
        <v>Use lists to display output on a physical computing device</v>
      </c>
      <c r="F139" s="30" t="b">
        <f ca="1">IFERROR(__xludf.DUMMYFUNCTION("""COMPUTED_VALUE"""),TRUE)</f>
        <v>1</v>
      </c>
      <c r="G139" s="26" t="b">
        <f ca="1">IFERROR(__xludf.DUMMYFUNCTION("""COMPUTED_VALUE"""),TRUE)</f>
        <v>1</v>
      </c>
      <c r="H139" s="27"/>
      <c r="I139" s="30"/>
      <c r="J139" s="26"/>
      <c r="K139" s="26" t="b">
        <f ca="1">IFERROR(__xludf.DUMMYFUNCTION("""COMPUTED_VALUE"""),TRUE)</f>
        <v>1</v>
      </c>
      <c r="L139" s="26"/>
      <c r="M139" s="26"/>
      <c r="N139" s="26"/>
      <c r="O139" s="26"/>
      <c r="P139" s="26"/>
      <c r="Q139" s="26" t="b">
        <f ca="1">IFERROR(__xludf.DUMMYFUNCTION("""COMPUTED_VALUE"""),TRUE)</f>
        <v>1</v>
      </c>
      <c r="R139" s="27"/>
      <c r="S139" s="28" t="s">
        <v>28</v>
      </c>
      <c r="T139" s="28" t="s">
        <v>88</v>
      </c>
      <c r="U139" s="28" t="s">
        <v>89</v>
      </c>
      <c r="V139" s="29" t="s">
        <v>68</v>
      </c>
      <c r="W139" s="67"/>
    </row>
    <row r="140" spans="1:23" ht="28">
      <c r="A140" s="17" t="str">
        <f ca="1">IFERROR(__xludf.DUMMYFUNCTION("""COMPUTED_VALUE"""),"GCSE")</f>
        <v>GCSE</v>
      </c>
      <c r="B140" s="17">
        <f ca="1">IFERROR(__xludf.DUMMYFUNCTION("""COMPUTED_VALUE"""),7)</f>
        <v>7</v>
      </c>
      <c r="C140" s="19" t="str">
        <f ca="1">IFERROR(__xludf.DUMMYFUNCTION("""COMPUTED_VALUE"""),"Programming part 5 - Strings and lists")</f>
        <v>Programming part 5 - Strings and lists</v>
      </c>
      <c r="D140" s="17">
        <f ca="1">IFERROR(__xludf.DUMMYFUNCTION("""COMPUTED_VALUE"""),32)</f>
        <v>32</v>
      </c>
      <c r="E140" s="19" t="str">
        <f ca="1">IFERROR(__xludf.DUMMYFUNCTION("""COMPUTED_VALUE"""),"Use randomisation to append items to a list")</f>
        <v>Use randomisation to append items to a list</v>
      </c>
      <c r="F140" s="30" t="b">
        <f ca="1">IFERROR(__xludf.DUMMYFUNCTION("""COMPUTED_VALUE"""),TRUE)</f>
        <v>1</v>
      </c>
      <c r="G140" s="26" t="b">
        <f ca="1">IFERROR(__xludf.DUMMYFUNCTION("""COMPUTED_VALUE"""),TRUE)</f>
        <v>1</v>
      </c>
      <c r="H140" s="27"/>
      <c r="I140" s="30"/>
      <c r="J140" s="26"/>
      <c r="K140" s="26"/>
      <c r="L140" s="26"/>
      <c r="M140" s="26"/>
      <c r="N140" s="26"/>
      <c r="O140" s="26"/>
      <c r="P140" s="26"/>
      <c r="Q140" s="26" t="b">
        <f ca="1">IFERROR(__xludf.DUMMYFUNCTION("""COMPUTED_VALUE"""),TRUE)</f>
        <v>1</v>
      </c>
      <c r="R140" s="27"/>
      <c r="S140" s="28" t="s">
        <v>28</v>
      </c>
      <c r="T140" s="28" t="s">
        <v>88</v>
      </c>
      <c r="U140" s="28" t="s">
        <v>89</v>
      </c>
      <c r="V140" s="29" t="s">
        <v>68</v>
      </c>
      <c r="W140" s="67"/>
    </row>
    <row r="141" spans="1:23" ht="28">
      <c r="A141" s="17" t="str">
        <f ca="1">IFERROR(__xludf.DUMMYFUNCTION("""COMPUTED_VALUE"""),"GCSE")</f>
        <v>GCSE</v>
      </c>
      <c r="B141" s="17">
        <f ca="1">IFERROR(__xludf.DUMMYFUNCTION("""COMPUTED_VALUE"""),7)</f>
        <v>7</v>
      </c>
      <c r="C141" s="19" t="str">
        <f ca="1">IFERROR(__xludf.DUMMYFUNCTION("""COMPUTED_VALUE"""),"Programming part 5 - Strings and lists")</f>
        <v>Programming part 5 - Strings and lists</v>
      </c>
      <c r="D141" s="17">
        <f ca="1">IFERROR(__xludf.DUMMYFUNCTION("""COMPUTED_VALUE"""),33)</f>
        <v>33</v>
      </c>
      <c r="E141" s="19" t="str">
        <f ca="1">IFERROR(__xludf.DUMMYFUNCTION("""COMPUTED_VALUE"""),"Define a 2D array and a list")</f>
        <v>Define a 2D array and a list</v>
      </c>
      <c r="F141" s="30" t="b">
        <f ca="1">IFERROR(__xludf.DUMMYFUNCTION("""COMPUTED_VALUE"""),TRUE)</f>
        <v>1</v>
      </c>
      <c r="G141" s="26" t="b">
        <f ca="1">IFERROR(__xludf.DUMMYFUNCTION("""COMPUTED_VALUE"""),TRUE)</f>
        <v>1</v>
      </c>
      <c r="H141" s="27"/>
      <c r="I141" s="30"/>
      <c r="J141" s="26"/>
      <c r="K141" s="26"/>
      <c r="L141" s="26"/>
      <c r="M141" s="26" t="b">
        <f ca="1">IFERROR(__xludf.DUMMYFUNCTION("""COMPUTED_VALUE"""),TRUE)</f>
        <v>1</v>
      </c>
      <c r="N141" s="26"/>
      <c r="O141" s="26"/>
      <c r="P141" s="26"/>
      <c r="Q141" s="26" t="b">
        <f ca="1">IFERROR(__xludf.DUMMYFUNCTION("""COMPUTED_VALUE"""),TRUE)</f>
        <v>1</v>
      </c>
      <c r="R141" s="27"/>
      <c r="S141" s="28" t="s">
        <v>28</v>
      </c>
      <c r="T141" s="28" t="s">
        <v>88</v>
      </c>
      <c r="U141" s="28" t="s">
        <v>89</v>
      </c>
      <c r="V141" s="29" t="s">
        <v>68</v>
      </c>
      <c r="W141" s="67"/>
    </row>
    <row r="142" spans="1:23" ht="28">
      <c r="A142" s="17" t="str">
        <f ca="1">IFERROR(__xludf.DUMMYFUNCTION("""COMPUTED_VALUE"""),"GCSE")</f>
        <v>GCSE</v>
      </c>
      <c r="B142" s="17">
        <f ca="1">IFERROR(__xludf.DUMMYFUNCTION("""COMPUTED_VALUE"""),7)</f>
        <v>7</v>
      </c>
      <c r="C142" s="19" t="str">
        <f ca="1">IFERROR(__xludf.DUMMYFUNCTION("""COMPUTED_VALUE"""),"Programming part 5 - Strings and lists")</f>
        <v>Programming part 5 - Strings and lists</v>
      </c>
      <c r="D142" s="17">
        <f ca="1">IFERROR(__xludf.DUMMYFUNCTION("""COMPUTED_VALUE"""),33)</f>
        <v>33</v>
      </c>
      <c r="E142" s="19" t="str">
        <f ca="1">IFERROR(__xludf.DUMMYFUNCTION("""COMPUTED_VALUE"""),"Use a 2D list in a program")</f>
        <v>Use a 2D list in a program</v>
      </c>
      <c r="F142" s="30" t="b">
        <f ca="1">IFERROR(__xludf.DUMMYFUNCTION("""COMPUTED_VALUE"""),TRUE)</f>
        <v>1</v>
      </c>
      <c r="G142" s="26" t="b">
        <f ca="1">IFERROR(__xludf.DUMMYFUNCTION("""COMPUTED_VALUE"""),TRUE)</f>
        <v>1</v>
      </c>
      <c r="H142" s="27"/>
      <c r="I142" s="30"/>
      <c r="J142" s="26"/>
      <c r="K142" s="26"/>
      <c r="L142" s="26"/>
      <c r="M142" s="26"/>
      <c r="N142" s="26"/>
      <c r="O142" s="26"/>
      <c r="P142" s="26"/>
      <c r="Q142" s="26" t="b">
        <f ca="1">IFERROR(__xludf.DUMMYFUNCTION("""COMPUTED_VALUE"""),TRUE)</f>
        <v>1</v>
      </c>
      <c r="R142" s="27"/>
      <c r="S142" s="28" t="s">
        <v>28</v>
      </c>
      <c r="T142" s="28" t="s">
        <v>88</v>
      </c>
      <c r="U142" s="28" t="s">
        <v>89</v>
      </c>
      <c r="V142" s="29" t="s">
        <v>68</v>
      </c>
      <c r="W142" s="67"/>
    </row>
    <row r="143" spans="1:23" ht="28">
      <c r="A143" s="17" t="str">
        <f ca="1">IFERROR(__xludf.DUMMYFUNCTION("""COMPUTED_VALUE"""),"GCSE")</f>
        <v>GCSE</v>
      </c>
      <c r="B143" s="17">
        <f ca="1">IFERROR(__xludf.DUMMYFUNCTION("""COMPUTED_VALUE"""),7)</f>
        <v>7</v>
      </c>
      <c r="C143" s="19" t="str">
        <f ca="1">IFERROR(__xludf.DUMMYFUNCTION("""COMPUTED_VALUE"""),"Programming part 5 - Strings and lists")</f>
        <v>Programming part 5 - Strings and lists</v>
      </c>
      <c r="D143" s="17">
        <f ca="1">IFERROR(__xludf.DUMMYFUNCTION("""COMPUTED_VALUE"""),34)</f>
        <v>34</v>
      </c>
      <c r="E143" s="19" t="str">
        <f ca="1">IFERROR(__xludf.DUMMYFUNCTION("""COMPUTED_VALUE"""),"Use a 2D list as part of a programming challenge")</f>
        <v>Use a 2D list as part of a programming challenge</v>
      </c>
      <c r="F143" s="30" t="b">
        <f ca="1">IFERROR(__xludf.DUMMYFUNCTION("""COMPUTED_VALUE"""),TRUE)</f>
        <v>1</v>
      </c>
      <c r="G143" s="26" t="b">
        <f ca="1">IFERROR(__xludf.DUMMYFUNCTION("""COMPUTED_VALUE"""),TRUE)</f>
        <v>1</v>
      </c>
      <c r="H143" s="27"/>
      <c r="I143" s="30"/>
      <c r="J143" s="26"/>
      <c r="K143" s="26"/>
      <c r="L143" s="26"/>
      <c r="M143" s="26"/>
      <c r="N143" s="26"/>
      <c r="O143" s="26"/>
      <c r="P143" s="26"/>
      <c r="Q143" s="26" t="b">
        <f ca="1">IFERROR(__xludf.DUMMYFUNCTION("""COMPUTED_VALUE"""),TRUE)</f>
        <v>1</v>
      </c>
      <c r="R143" s="27"/>
      <c r="S143" s="28" t="s">
        <v>28</v>
      </c>
      <c r="T143" s="28" t="s">
        <v>88</v>
      </c>
      <c r="U143" s="28" t="s">
        <v>89</v>
      </c>
      <c r="V143" s="29" t="s">
        <v>68</v>
      </c>
      <c r="W143" s="67"/>
    </row>
    <row r="144" spans="1:23" ht="28">
      <c r="A144" s="17" t="str">
        <f ca="1">IFERROR(__xludf.DUMMYFUNCTION("""COMPUTED_VALUE"""),"GCSE")</f>
        <v>GCSE</v>
      </c>
      <c r="B144" s="17">
        <f ca="1">IFERROR(__xludf.DUMMYFUNCTION("""COMPUTED_VALUE"""),8)</f>
        <v>8</v>
      </c>
      <c r="C144" s="19" t="str">
        <f ca="1">IFERROR(__xludf.DUMMYFUNCTION("""COMPUTED_VALUE"""),"Data representations")</f>
        <v>Data representations</v>
      </c>
      <c r="D144" s="17">
        <f ca="1">IFERROR(__xludf.DUMMYFUNCTION("""COMPUTED_VALUE"""),1)</f>
        <v>1</v>
      </c>
      <c r="E144" s="19" t="str">
        <f ca="1">IFERROR(__xludf.DUMMYFUNCTION("""COMPUTED_VALUE"""),"Explain how binary relates to two-state electrical signals")</f>
        <v>Explain how binary relates to two-state electrical signals</v>
      </c>
      <c r="F144" s="30" t="b">
        <f ca="1">IFERROR(__xludf.DUMMYFUNCTION("""COMPUTED_VALUE"""),TRUE)</f>
        <v>1</v>
      </c>
      <c r="G144" s="26" t="b">
        <f ca="1">IFERROR(__xludf.DUMMYFUNCTION("""COMPUTED_VALUE"""),TRUE)</f>
        <v>1</v>
      </c>
      <c r="H144" s="27"/>
      <c r="I144" s="30"/>
      <c r="J144" s="26"/>
      <c r="K144" s="26"/>
      <c r="L144" s="26"/>
      <c r="M144" s="26" t="b">
        <f ca="1">IFERROR(__xludf.DUMMYFUNCTION("""COMPUTED_VALUE"""),TRUE)</f>
        <v>1</v>
      </c>
      <c r="N144" s="26"/>
      <c r="O144" s="26"/>
      <c r="P144" s="26"/>
      <c r="Q144" s="26"/>
      <c r="R144" s="27"/>
      <c r="S144" s="31" t="s">
        <v>28</v>
      </c>
      <c r="T144" s="31" t="s">
        <v>88</v>
      </c>
      <c r="U144" s="31" t="s">
        <v>89</v>
      </c>
      <c r="V144" s="32" t="s">
        <v>68</v>
      </c>
      <c r="W144" s="67"/>
    </row>
    <row r="145" spans="1:23" ht="28">
      <c r="A145" s="17" t="str">
        <f ca="1">IFERROR(__xludf.DUMMYFUNCTION("""COMPUTED_VALUE"""),"GCSE")</f>
        <v>GCSE</v>
      </c>
      <c r="B145" s="17">
        <f ca="1">IFERROR(__xludf.DUMMYFUNCTION("""COMPUTED_VALUE"""),8)</f>
        <v>8</v>
      </c>
      <c r="C145" s="19" t="str">
        <f ca="1">IFERROR(__xludf.DUMMYFUNCTION("""COMPUTED_VALUE"""),"Data representations")</f>
        <v>Data representations</v>
      </c>
      <c r="D145" s="17">
        <f ca="1">IFERROR(__xludf.DUMMYFUNCTION("""COMPUTED_VALUE"""),1)</f>
        <v>1</v>
      </c>
      <c r="E145" s="19" t="str">
        <f ca="1">IFERROR(__xludf.DUMMYFUNCTION("""COMPUTED_VALUE"""),"Explain that computers use binary to represent all data and instructions")</f>
        <v>Explain that computers use binary to represent all data and instructions</v>
      </c>
      <c r="F145" s="30" t="b">
        <f ca="1">IFERROR(__xludf.DUMMYFUNCTION("""COMPUTED_VALUE"""),TRUE)</f>
        <v>1</v>
      </c>
      <c r="G145" s="26" t="b">
        <f ca="1">IFERROR(__xludf.DUMMYFUNCTION("""COMPUTED_VALUE"""),TRUE)</f>
        <v>1</v>
      </c>
      <c r="H145" s="27"/>
      <c r="I145" s="30"/>
      <c r="J145" s="26"/>
      <c r="K145" s="26"/>
      <c r="L145" s="26"/>
      <c r="M145" s="26" t="b">
        <f ca="1">IFERROR(__xludf.DUMMYFUNCTION("""COMPUTED_VALUE"""),TRUE)</f>
        <v>1</v>
      </c>
      <c r="N145" s="26"/>
      <c r="O145" s="26"/>
      <c r="P145" s="26"/>
      <c r="Q145" s="26"/>
      <c r="R145" s="27"/>
      <c r="S145" s="28" t="s">
        <v>28</v>
      </c>
      <c r="T145" s="28" t="s">
        <v>88</v>
      </c>
      <c r="U145" s="28" t="s">
        <v>89</v>
      </c>
      <c r="V145" s="29" t="s">
        <v>68</v>
      </c>
      <c r="W145" s="67"/>
    </row>
    <row r="146" spans="1:23" ht="28">
      <c r="A146" s="17" t="str">
        <f ca="1">IFERROR(__xludf.DUMMYFUNCTION("""COMPUTED_VALUE"""),"GCSE")</f>
        <v>GCSE</v>
      </c>
      <c r="B146" s="17">
        <f ca="1">IFERROR(__xludf.DUMMYFUNCTION("""COMPUTED_VALUE"""),8)</f>
        <v>8</v>
      </c>
      <c r="C146" s="19" t="str">
        <f ca="1">IFERROR(__xludf.DUMMYFUNCTION("""COMPUTED_VALUE"""),"Data representations")</f>
        <v>Data representations</v>
      </c>
      <c r="D146" s="17">
        <f ca="1">IFERROR(__xludf.DUMMYFUNCTION("""COMPUTED_VALUE"""),1)</f>
        <v>1</v>
      </c>
      <c r="E146" s="19" t="str">
        <f ca="1">IFERROR(__xludf.DUMMYFUNCTION("""COMPUTED_VALUE"""),"Give examples of the use of representation")</f>
        <v>Give examples of the use of representation</v>
      </c>
      <c r="F146" s="30" t="b">
        <f ca="1">IFERROR(__xludf.DUMMYFUNCTION("""COMPUTED_VALUE"""),TRUE)</f>
        <v>1</v>
      </c>
      <c r="G146" s="26" t="b">
        <f ca="1">IFERROR(__xludf.DUMMYFUNCTION("""COMPUTED_VALUE"""),TRUE)</f>
        <v>1</v>
      </c>
      <c r="H146" s="27"/>
      <c r="I146" s="30"/>
      <c r="J146" s="26"/>
      <c r="K146" s="26"/>
      <c r="L146" s="26"/>
      <c r="M146" s="26" t="b">
        <f ca="1">IFERROR(__xludf.DUMMYFUNCTION("""COMPUTED_VALUE"""),TRUE)</f>
        <v>1</v>
      </c>
      <c r="N146" s="26"/>
      <c r="O146" s="26"/>
      <c r="P146" s="26"/>
      <c r="Q146" s="26"/>
      <c r="R146" s="27"/>
      <c r="S146" s="28" t="s">
        <v>28</v>
      </c>
      <c r="T146" s="28" t="s">
        <v>88</v>
      </c>
      <c r="U146" s="28" t="s">
        <v>89</v>
      </c>
      <c r="V146" s="29" t="s">
        <v>68</v>
      </c>
      <c r="W146" s="67"/>
    </row>
    <row r="147" spans="1:23" ht="28">
      <c r="A147" s="17" t="str">
        <f ca="1">IFERROR(__xludf.DUMMYFUNCTION("""COMPUTED_VALUE"""),"GCSE")</f>
        <v>GCSE</v>
      </c>
      <c r="B147" s="17">
        <f ca="1">IFERROR(__xludf.DUMMYFUNCTION("""COMPUTED_VALUE"""),8)</f>
        <v>8</v>
      </c>
      <c r="C147" s="19" t="str">
        <f ca="1">IFERROR(__xludf.DUMMYFUNCTION("""COMPUTED_VALUE"""),"Data representations")</f>
        <v>Data representations</v>
      </c>
      <c r="D147" s="17">
        <f ca="1">IFERROR(__xludf.DUMMYFUNCTION("""COMPUTED_VALUE"""),2)</f>
        <v>2</v>
      </c>
      <c r="E147" s="19" t="str">
        <f ca="1">IFERROR(__xludf.DUMMYFUNCTION("""COMPUTED_VALUE"""),"Convert between binary and decimal numbers")</f>
        <v>Convert between binary and decimal numbers</v>
      </c>
      <c r="F147" s="30" t="b">
        <f ca="1">IFERROR(__xludf.DUMMYFUNCTION("""COMPUTED_VALUE"""),TRUE)</f>
        <v>1</v>
      </c>
      <c r="G147" s="26" t="b">
        <f ca="1">IFERROR(__xludf.DUMMYFUNCTION("""COMPUTED_VALUE"""),TRUE)</f>
        <v>1</v>
      </c>
      <c r="H147" s="27"/>
      <c r="I147" s="30"/>
      <c r="J147" s="26"/>
      <c r="K147" s="26"/>
      <c r="L147" s="26"/>
      <c r="M147" s="26" t="b">
        <f ca="1">IFERROR(__xludf.DUMMYFUNCTION("""COMPUTED_VALUE"""),TRUE)</f>
        <v>1</v>
      </c>
      <c r="N147" s="26"/>
      <c r="O147" s="26"/>
      <c r="P147" s="26"/>
      <c r="Q147" s="26"/>
      <c r="R147" s="27"/>
      <c r="S147" s="28" t="s">
        <v>28</v>
      </c>
      <c r="T147" s="28" t="s">
        <v>88</v>
      </c>
      <c r="U147" s="28" t="s">
        <v>89</v>
      </c>
      <c r="V147" s="29" t="s">
        <v>68</v>
      </c>
      <c r="W147" s="67"/>
    </row>
    <row r="148" spans="1:23" ht="28">
      <c r="A148" s="17" t="str">
        <f ca="1">IFERROR(__xludf.DUMMYFUNCTION("""COMPUTED_VALUE"""),"GCSE")</f>
        <v>GCSE</v>
      </c>
      <c r="B148" s="17">
        <f ca="1">IFERROR(__xludf.DUMMYFUNCTION("""COMPUTED_VALUE"""),8)</f>
        <v>8</v>
      </c>
      <c r="C148" s="19" t="str">
        <f ca="1">IFERROR(__xludf.DUMMYFUNCTION("""COMPUTED_VALUE"""),"Data representations")</f>
        <v>Data representations</v>
      </c>
      <c r="D148" s="17">
        <f ca="1">IFERROR(__xludf.DUMMYFUNCTION("""COMPUTED_VALUE"""),2)</f>
        <v>2</v>
      </c>
      <c r="E148" s="19" t="str">
        <f ca="1">IFERROR(__xludf.DUMMYFUNCTION("""COMPUTED_VALUE"""),"Explain the difference between base-2 and base-10 numbers")</f>
        <v>Explain the difference between base-2 and base-10 numbers</v>
      </c>
      <c r="F148" s="30" t="b">
        <f ca="1">IFERROR(__xludf.DUMMYFUNCTION("""COMPUTED_VALUE"""),TRUE)</f>
        <v>1</v>
      </c>
      <c r="G148" s="26" t="b">
        <f ca="1">IFERROR(__xludf.DUMMYFUNCTION("""COMPUTED_VALUE"""),TRUE)</f>
        <v>1</v>
      </c>
      <c r="H148" s="27"/>
      <c r="I148" s="30"/>
      <c r="J148" s="26"/>
      <c r="K148" s="26"/>
      <c r="L148" s="26"/>
      <c r="M148" s="26" t="b">
        <f ca="1">IFERROR(__xludf.DUMMYFUNCTION("""COMPUTED_VALUE"""),TRUE)</f>
        <v>1</v>
      </c>
      <c r="N148" s="26"/>
      <c r="O148" s="26"/>
      <c r="P148" s="26"/>
      <c r="Q148" s="26"/>
      <c r="R148" s="27"/>
      <c r="S148" s="28" t="s">
        <v>28</v>
      </c>
      <c r="T148" s="28" t="s">
        <v>88</v>
      </c>
      <c r="U148" s="28" t="s">
        <v>89</v>
      </c>
      <c r="V148" s="29" t="s">
        <v>68</v>
      </c>
      <c r="W148" s="67"/>
    </row>
    <row r="149" spans="1:23" ht="28">
      <c r="A149" s="17" t="str">
        <f ca="1">IFERROR(__xludf.DUMMYFUNCTION("""COMPUTED_VALUE"""),"GCSE")</f>
        <v>GCSE</v>
      </c>
      <c r="B149" s="17">
        <f ca="1">IFERROR(__xludf.DUMMYFUNCTION("""COMPUTED_VALUE"""),8)</f>
        <v>8</v>
      </c>
      <c r="C149" s="19" t="str">
        <f ca="1">IFERROR(__xludf.DUMMYFUNCTION("""COMPUTED_VALUE"""),"Data representations")</f>
        <v>Data representations</v>
      </c>
      <c r="D149" s="17">
        <f ca="1">IFERROR(__xludf.DUMMYFUNCTION("""COMPUTED_VALUE"""),3)</f>
        <v>3</v>
      </c>
      <c r="E149" s="19" t="str">
        <f ca="1">IFERROR(__xludf.DUMMYFUNCTION("""COMPUTED_VALUE"""),"Count in binary")</f>
        <v>Count in binary</v>
      </c>
      <c r="F149" s="30" t="b">
        <f ca="1">IFERROR(__xludf.DUMMYFUNCTION("""COMPUTED_VALUE"""),TRUE)</f>
        <v>1</v>
      </c>
      <c r="G149" s="26" t="b">
        <f ca="1">IFERROR(__xludf.DUMMYFUNCTION("""COMPUTED_VALUE"""),TRUE)</f>
        <v>1</v>
      </c>
      <c r="H149" s="27"/>
      <c r="I149" s="30"/>
      <c r="J149" s="26"/>
      <c r="K149" s="26"/>
      <c r="L149" s="26"/>
      <c r="M149" s="26" t="b">
        <f ca="1">IFERROR(__xludf.DUMMYFUNCTION("""COMPUTED_VALUE"""),TRUE)</f>
        <v>1</v>
      </c>
      <c r="N149" s="26"/>
      <c r="O149" s="26"/>
      <c r="P149" s="26"/>
      <c r="Q149" s="26"/>
      <c r="R149" s="27"/>
      <c r="S149" s="28" t="s">
        <v>28</v>
      </c>
      <c r="T149" s="28" t="s">
        <v>88</v>
      </c>
      <c r="U149" s="28" t="s">
        <v>89</v>
      </c>
      <c r="V149" s="29" t="s">
        <v>68</v>
      </c>
      <c r="W149" s="67"/>
    </row>
    <row r="150" spans="1:23" ht="28">
      <c r="A150" s="17" t="str">
        <f ca="1">IFERROR(__xludf.DUMMYFUNCTION("""COMPUTED_VALUE"""),"GCSE")</f>
        <v>GCSE</v>
      </c>
      <c r="B150" s="17">
        <f ca="1">IFERROR(__xludf.DUMMYFUNCTION("""COMPUTED_VALUE"""),8)</f>
        <v>8</v>
      </c>
      <c r="C150" s="19" t="str">
        <f ca="1">IFERROR(__xludf.DUMMYFUNCTION("""COMPUTED_VALUE"""),"Data representations")</f>
        <v>Data representations</v>
      </c>
      <c r="D150" s="17">
        <f ca="1">IFERROR(__xludf.DUMMYFUNCTION("""COMPUTED_VALUE"""),3)</f>
        <v>3</v>
      </c>
      <c r="E150" s="19" t="str">
        <f ca="1">IFERROR(__xludf.DUMMYFUNCTION("""COMPUTED_VALUE"""),"Perform addition in binary on three binary numbers")</f>
        <v>Perform addition in binary on three binary numbers</v>
      </c>
      <c r="F150" s="30" t="b">
        <f ca="1">IFERROR(__xludf.DUMMYFUNCTION("""COMPUTED_VALUE"""),TRUE)</f>
        <v>1</v>
      </c>
      <c r="G150" s="26" t="b">
        <f ca="1">IFERROR(__xludf.DUMMYFUNCTION("""COMPUTED_VALUE"""),TRUE)</f>
        <v>1</v>
      </c>
      <c r="H150" s="27"/>
      <c r="I150" s="30"/>
      <c r="J150" s="26"/>
      <c r="K150" s="26"/>
      <c r="L150" s="26"/>
      <c r="M150" s="26" t="b">
        <f ca="1">IFERROR(__xludf.DUMMYFUNCTION("""COMPUTED_VALUE"""),TRUE)</f>
        <v>1</v>
      </c>
      <c r="N150" s="26"/>
      <c r="O150" s="26"/>
      <c r="P150" s="26"/>
      <c r="Q150" s="26"/>
      <c r="R150" s="27"/>
      <c r="S150" s="28" t="s">
        <v>28</v>
      </c>
      <c r="T150" s="28" t="s">
        <v>88</v>
      </c>
      <c r="U150" s="28" t="s">
        <v>89</v>
      </c>
      <c r="V150" s="29" t="s">
        <v>68</v>
      </c>
      <c r="W150" s="67"/>
    </row>
    <row r="151" spans="1:23" ht="28">
      <c r="A151" s="17" t="str">
        <f ca="1">IFERROR(__xludf.DUMMYFUNCTION("""COMPUTED_VALUE"""),"GCSE")</f>
        <v>GCSE</v>
      </c>
      <c r="B151" s="17">
        <f ca="1">IFERROR(__xludf.DUMMYFUNCTION("""COMPUTED_VALUE"""),8)</f>
        <v>8</v>
      </c>
      <c r="C151" s="19" t="str">
        <f ca="1">IFERROR(__xludf.DUMMYFUNCTION("""COMPUTED_VALUE"""),"Data representations")</f>
        <v>Data representations</v>
      </c>
      <c r="D151" s="17">
        <f ca="1">IFERROR(__xludf.DUMMYFUNCTION("""COMPUTED_VALUE"""),3)</f>
        <v>3</v>
      </c>
      <c r="E151" s="19" t="str">
        <f ca="1">IFERROR(__xludf.DUMMYFUNCTION("""COMPUTED_VALUE"""),"Perform addition in binary on two binary numbers")</f>
        <v>Perform addition in binary on two binary numbers</v>
      </c>
      <c r="F151" s="30" t="b">
        <f ca="1">IFERROR(__xludf.DUMMYFUNCTION("""COMPUTED_VALUE"""),TRUE)</f>
        <v>1</v>
      </c>
      <c r="G151" s="26" t="b">
        <f ca="1">IFERROR(__xludf.DUMMYFUNCTION("""COMPUTED_VALUE"""),TRUE)</f>
        <v>1</v>
      </c>
      <c r="H151" s="27"/>
      <c r="I151" s="30"/>
      <c r="J151" s="26"/>
      <c r="K151" s="26"/>
      <c r="L151" s="26"/>
      <c r="M151" s="26" t="b">
        <f ca="1">IFERROR(__xludf.DUMMYFUNCTION("""COMPUTED_VALUE"""),TRUE)</f>
        <v>1</v>
      </c>
      <c r="N151" s="26"/>
      <c r="O151" s="26"/>
      <c r="P151" s="26"/>
      <c r="Q151" s="26"/>
      <c r="R151" s="27"/>
      <c r="S151" s="28" t="s">
        <v>28</v>
      </c>
      <c r="T151" s="28" t="s">
        <v>88</v>
      </c>
      <c r="U151" s="28" t="s">
        <v>89</v>
      </c>
      <c r="V151" s="29" t="s">
        <v>68</v>
      </c>
      <c r="W151" s="67"/>
    </row>
    <row r="152" spans="1:23" ht="21">
      <c r="A152" s="17" t="str">
        <f ca="1">IFERROR(__xludf.DUMMYFUNCTION("""COMPUTED_VALUE"""),"GCSE")</f>
        <v>GCSE</v>
      </c>
      <c r="B152" s="17">
        <f ca="1">IFERROR(__xludf.DUMMYFUNCTION("""COMPUTED_VALUE"""),8)</f>
        <v>8</v>
      </c>
      <c r="C152" s="19" t="str">
        <f ca="1">IFERROR(__xludf.DUMMYFUNCTION("""COMPUTED_VALUE"""),"Data representations")</f>
        <v>Data representations</v>
      </c>
      <c r="D152" s="17">
        <f ca="1">IFERROR(__xludf.DUMMYFUNCTION("""COMPUTED_VALUE"""),4)</f>
        <v>4</v>
      </c>
      <c r="E152" s="19" t="str">
        <f ca="1">IFERROR(__xludf.DUMMYFUNCTION("""COMPUTED_VALUE"""),"Perform subtraction in binary")</f>
        <v>Perform subtraction in binary</v>
      </c>
      <c r="F152" s="30" t="b">
        <f ca="1">IFERROR(__xludf.DUMMYFUNCTION("""COMPUTED_VALUE"""),TRUE)</f>
        <v>1</v>
      </c>
      <c r="G152" s="26" t="b">
        <f ca="1">IFERROR(__xludf.DUMMYFUNCTION("""COMPUTED_VALUE"""),TRUE)</f>
        <v>1</v>
      </c>
      <c r="H152" s="27"/>
      <c r="I152" s="30"/>
      <c r="J152" s="26"/>
      <c r="K152" s="26"/>
      <c r="L152" s="26"/>
      <c r="M152" s="26" t="b">
        <f ca="1">IFERROR(__xludf.DUMMYFUNCTION("""COMPUTED_VALUE"""),TRUE)</f>
        <v>1</v>
      </c>
      <c r="N152" s="26"/>
      <c r="O152" s="26"/>
      <c r="P152" s="26"/>
      <c r="Q152" s="26"/>
      <c r="R152" s="27"/>
      <c r="S152" s="28" t="s">
        <v>28</v>
      </c>
      <c r="T152" s="28" t="s">
        <v>88</v>
      </c>
      <c r="U152" s="28" t="s">
        <v>67</v>
      </c>
      <c r="V152" s="29" t="s">
        <v>68</v>
      </c>
      <c r="W152" s="67"/>
    </row>
    <row r="153" spans="1:23" ht="28">
      <c r="A153" s="17" t="str">
        <f ca="1">IFERROR(__xludf.DUMMYFUNCTION("""COMPUTED_VALUE"""),"GCSE")</f>
        <v>GCSE</v>
      </c>
      <c r="B153" s="17">
        <f ca="1">IFERROR(__xludf.DUMMYFUNCTION("""COMPUTED_VALUE"""),8)</f>
        <v>8</v>
      </c>
      <c r="C153" s="19" t="str">
        <f ca="1">IFERROR(__xludf.DUMMYFUNCTION("""COMPUTED_VALUE"""),"Data representations")</f>
        <v>Data representations</v>
      </c>
      <c r="D153" s="17">
        <f ca="1">IFERROR(__xludf.DUMMYFUNCTION("""COMPUTED_VALUE"""),5)</f>
        <v>5</v>
      </c>
      <c r="E153" s="19" t="str">
        <f ca="1">IFERROR(__xludf.DUMMYFUNCTION("""COMPUTED_VALUE"""),"Describe situations where binary shifts can be used")</f>
        <v>Describe situations where binary shifts can be used</v>
      </c>
      <c r="F153" s="30" t="b">
        <f ca="1">IFERROR(__xludf.DUMMYFUNCTION("""COMPUTED_VALUE"""),TRUE)</f>
        <v>1</v>
      </c>
      <c r="G153" s="26" t="b">
        <f ca="1">IFERROR(__xludf.DUMMYFUNCTION("""COMPUTED_VALUE"""),TRUE)</f>
        <v>1</v>
      </c>
      <c r="H153" s="27"/>
      <c r="I153" s="30"/>
      <c r="J153" s="26"/>
      <c r="K153" s="26"/>
      <c r="L153" s="26"/>
      <c r="M153" s="26" t="b">
        <f ca="1">IFERROR(__xludf.DUMMYFUNCTION("""COMPUTED_VALUE"""),TRUE)</f>
        <v>1</v>
      </c>
      <c r="N153" s="26"/>
      <c r="O153" s="26"/>
      <c r="P153" s="26"/>
      <c r="Q153" s="26"/>
      <c r="R153" s="27"/>
      <c r="S153" s="28" t="s">
        <v>28</v>
      </c>
      <c r="T153" s="28" t="s">
        <v>88</v>
      </c>
      <c r="U153" s="28" t="s">
        <v>89</v>
      </c>
      <c r="V153" s="29" t="s">
        <v>68</v>
      </c>
      <c r="W153" s="67"/>
    </row>
    <row r="154" spans="1:23" ht="28">
      <c r="A154" s="17" t="str">
        <f ca="1">IFERROR(__xludf.DUMMYFUNCTION("""COMPUTED_VALUE"""),"GCSE")</f>
        <v>GCSE</v>
      </c>
      <c r="B154" s="17">
        <f ca="1">IFERROR(__xludf.DUMMYFUNCTION("""COMPUTED_VALUE"""),8)</f>
        <v>8</v>
      </c>
      <c r="C154" s="19" t="str">
        <f ca="1">IFERROR(__xludf.DUMMYFUNCTION("""COMPUTED_VALUE"""),"Data representations")</f>
        <v>Data representations</v>
      </c>
      <c r="D154" s="17">
        <f ca="1">IFERROR(__xludf.DUMMYFUNCTION("""COMPUTED_VALUE"""),5)</f>
        <v>5</v>
      </c>
      <c r="E154" s="19" t="str">
        <f ca="1">IFERROR(__xludf.DUMMYFUNCTION("""COMPUTED_VALUE"""),"Explain how overflow errors can occur")</f>
        <v>Explain how overflow errors can occur</v>
      </c>
      <c r="F154" s="30" t="b">
        <f ca="1">IFERROR(__xludf.DUMMYFUNCTION("""COMPUTED_VALUE"""),TRUE)</f>
        <v>1</v>
      </c>
      <c r="G154" s="26" t="b">
        <f ca="1">IFERROR(__xludf.DUMMYFUNCTION("""COMPUTED_VALUE"""),TRUE)</f>
        <v>1</v>
      </c>
      <c r="H154" s="27"/>
      <c r="I154" s="30"/>
      <c r="J154" s="26"/>
      <c r="K154" s="26"/>
      <c r="L154" s="26"/>
      <c r="M154" s="26" t="b">
        <f ca="1">IFERROR(__xludf.DUMMYFUNCTION("""COMPUTED_VALUE"""),TRUE)</f>
        <v>1</v>
      </c>
      <c r="N154" s="26"/>
      <c r="O154" s="26"/>
      <c r="P154" s="26"/>
      <c r="Q154" s="26"/>
      <c r="R154" s="27"/>
      <c r="S154" s="28" t="s">
        <v>28</v>
      </c>
      <c r="T154" s="28" t="s">
        <v>88</v>
      </c>
      <c r="U154" s="28" t="s">
        <v>89</v>
      </c>
      <c r="V154" s="29" t="s">
        <v>68</v>
      </c>
      <c r="W154" s="67"/>
    </row>
    <row r="155" spans="1:23" ht="28">
      <c r="A155" s="17" t="str">
        <f ca="1">IFERROR(__xludf.DUMMYFUNCTION("""COMPUTED_VALUE"""),"GCSE")</f>
        <v>GCSE</v>
      </c>
      <c r="B155" s="17">
        <f ca="1">IFERROR(__xludf.DUMMYFUNCTION("""COMPUTED_VALUE"""),8)</f>
        <v>8</v>
      </c>
      <c r="C155" s="19" t="str">
        <f ca="1">IFERROR(__xludf.DUMMYFUNCTION("""COMPUTED_VALUE"""),"Data representations")</f>
        <v>Data representations</v>
      </c>
      <c r="D155" s="17">
        <f ca="1">IFERROR(__xludf.DUMMYFUNCTION("""COMPUTED_VALUE"""),5)</f>
        <v>5</v>
      </c>
      <c r="E155" s="19" t="str">
        <f ca="1">IFERROR(__xludf.DUMMYFUNCTION("""COMPUTED_VALUE"""),"Explain how underflow occurs")</f>
        <v>Explain how underflow occurs</v>
      </c>
      <c r="F155" s="30" t="b">
        <f ca="1">IFERROR(__xludf.DUMMYFUNCTION("""COMPUTED_VALUE"""),TRUE)</f>
        <v>1</v>
      </c>
      <c r="G155" s="26" t="b">
        <f ca="1">IFERROR(__xludf.DUMMYFUNCTION("""COMPUTED_VALUE"""),TRUE)</f>
        <v>1</v>
      </c>
      <c r="H155" s="27"/>
      <c r="I155" s="30"/>
      <c r="J155" s="26"/>
      <c r="K155" s="26"/>
      <c r="L155" s="26"/>
      <c r="M155" s="26" t="b">
        <f ca="1">IFERROR(__xludf.DUMMYFUNCTION("""COMPUTED_VALUE"""),TRUE)</f>
        <v>1</v>
      </c>
      <c r="N155" s="26"/>
      <c r="O155" s="26"/>
      <c r="P155" s="26"/>
      <c r="Q155" s="26"/>
      <c r="R155" s="27"/>
      <c r="S155" s="28" t="s">
        <v>28</v>
      </c>
      <c r="T155" s="28" t="s">
        <v>88</v>
      </c>
      <c r="U155" s="28" t="s">
        <v>89</v>
      </c>
      <c r="V155" s="29" t="s">
        <v>68</v>
      </c>
      <c r="W155" s="67"/>
    </row>
    <row r="156" spans="1:23" ht="28">
      <c r="A156" s="17" t="str">
        <f ca="1">IFERROR(__xludf.DUMMYFUNCTION("""COMPUTED_VALUE"""),"GCSE")</f>
        <v>GCSE</v>
      </c>
      <c r="B156" s="17">
        <f ca="1">IFERROR(__xludf.DUMMYFUNCTION("""COMPUTED_VALUE"""),8)</f>
        <v>8</v>
      </c>
      <c r="C156" s="19" t="str">
        <f ca="1">IFERROR(__xludf.DUMMYFUNCTION("""COMPUTED_VALUE"""),"Data representations")</f>
        <v>Data representations</v>
      </c>
      <c r="D156" s="17">
        <f ca="1">IFERROR(__xludf.DUMMYFUNCTION("""COMPUTED_VALUE"""),5)</f>
        <v>5</v>
      </c>
      <c r="E156" s="19" t="str">
        <f ca="1">IFERROR(__xludf.DUMMYFUNCTION("""COMPUTED_VALUE"""),"Perform binary shifts")</f>
        <v>Perform binary shifts</v>
      </c>
      <c r="F156" s="30" t="b">
        <f ca="1">IFERROR(__xludf.DUMMYFUNCTION("""COMPUTED_VALUE"""),TRUE)</f>
        <v>1</v>
      </c>
      <c r="G156" s="26" t="b">
        <f ca="1">IFERROR(__xludf.DUMMYFUNCTION("""COMPUTED_VALUE"""),TRUE)</f>
        <v>1</v>
      </c>
      <c r="H156" s="27"/>
      <c r="I156" s="30"/>
      <c r="J156" s="26"/>
      <c r="K156" s="26"/>
      <c r="L156" s="26"/>
      <c r="M156" s="26" t="b">
        <f ca="1">IFERROR(__xludf.DUMMYFUNCTION("""COMPUTED_VALUE"""),TRUE)</f>
        <v>1</v>
      </c>
      <c r="N156" s="26"/>
      <c r="O156" s="26"/>
      <c r="P156" s="26"/>
      <c r="Q156" s="26"/>
      <c r="R156" s="27"/>
      <c r="S156" s="28" t="s">
        <v>28</v>
      </c>
      <c r="T156" s="28" t="s">
        <v>90</v>
      </c>
      <c r="U156" s="28" t="s">
        <v>89</v>
      </c>
      <c r="V156" s="29" t="s">
        <v>68</v>
      </c>
      <c r="W156" s="67"/>
    </row>
    <row r="157" spans="1:23" ht="28">
      <c r="A157" s="17" t="str">
        <f ca="1">IFERROR(__xludf.DUMMYFUNCTION("""COMPUTED_VALUE"""),"GCSE")</f>
        <v>GCSE</v>
      </c>
      <c r="B157" s="17">
        <f ca="1">IFERROR(__xludf.DUMMYFUNCTION("""COMPUTED_VALUE"""),8)</f>
        <v>8</v>
      </c>
      <c r="C157" s="19" t="str">
        <f ca="1">IFERROR(__xludf.DUMMYFUNCTION("""COMPUTED_VALUE"""),"Data representations")</f>
        <v>Data representations</v>
      </c>
      <c r="D157" s="17">
        <f ca="1">IFERROR(__xludf.DUMMYFUNCTION("""COMPUTED_VALUE"""),6)</f>
        <v>6</v>
      </c>
      <c r="E157" s="19" t="str">
        <f ca="1">IFERROR(__xludf.DUMMYFUNCTION("""COMPUTED_VALUE"""),"Compare signed and unsigned integers")</f>
        <v>Compare signed and unsigned integers</v>
      </c>
      <c r="F157" s="30" t="b">
        <f ca="1">IFERROR(__xludf.DUMMYFUNCTION("""COMPUTED_VALUE"""),TRUE)</f>
        <v>1</v>
      </c>
      <c r="G157" s="26" t="b">
        <f ca="1">IFERROR(__xludf.DUMMYFUNCTION("""COMPUTED_VALUE"""),TRUE)</f>
        <v>1</v>
      </c>
      <c r="H157" s="27"/>
      <c r="I157" s="30"/>
      <c r="J157" s="26"/>
      <c r="K157" s="26"/>
      <c r="L157" s="26"/>
      <c r="M157" s="26" t="b">
        <f ca="1">IFERROR(__xludf.DUMMYFUNCTION("""COMPUTED_VALUE"""),TRUE)</f>
        <v>1</v>
      </c>
      <c r="N157" s="26"/>
      <c r="O157" s="26"/>
      <c r="P157" s="26"/>
      <c r="Q157" s="26"/>
      <c r="R157" s="27"/>
      <c r="S157" s="28" t="s">
        <v>28</v>
      </c>
      <c r="T157" s="28" t="s">
        <v>90</v>
      </c>
      <c r="U157" s="28" t="s">
        <v>89</v>
      </c>
      <c r="V157" s="29" t="s">
        <v>69</v>
      </c>
      <c r="W157" s="67"/>
    </row>
    <row r="158" spans="1:23" ht="28">
      <c r="A158" s="17" t="str">
        <f ca="1">IFERROR(__xludf.DUMMYFUNCTION("""COMPUTED_VALUE"""),"GCSE")</f>
        <v>GCSE</v>
      </c>
      <c r="B158" s="17">
        <f ca="1">IFERROR(__xludf.DUMMYFUNCTION("""COMPUTED_VALUE"""),8)</f>
        <v>8</v>
      </c>
      <c r="C158" s="19" t="str">
        <f ca="1">IFERROR(__xludf.DUMMYFUNCTION("""COMPUTED_VALUE"""),"Data representations")</f>
        <v>Data representations</v>
      </c>
      <c r="D158" s="17">
        <f ca="1">IFERROR(__xludf.DUMMYFUNCTION("""COMPUTED_VALUE"""),6)</f>
        <v>6</v>
      </c>
      <c r="E158" s="19" t="str">
        <f ca="1">IFERROR(__xludf.DUMMYFUNCTION("""COMPUTED_VALUE"""),"Use sign and magnitude to represent positive and negative integers")</f>
        <v>Use sign and magnitude to represent positive and negative integers</v>
      </c>
      <c r="F158" s="30" t="b">
        <f ca="1">IFERROR(__xludf.DUMMYFUNCTION("""COMPUTED_VALUE"""),TRUE)</f>
        <v>1</v>
      </c>
      <c r="G158" s="26" t="b">
        <f ca="1">IFERROR(__xludf.DUMMYFUNCTION("""COMPUTED_VALUE"""),TRUE)</f>
        <v>1</v>
      </c>
      <c r="H158" s="27"/>
      <c r="I158" s="30"/>
      <c r="J158" s="26"/>
      <c r="K158" s="26"/>
      <c r="L158" s="26"/>
      <c r="M158" s="26" t="b">
        <f ca="1">IFERROR(__xludf.DUMMYFUNCTION("""COMPUTED_VALUE"""),TRUE)</f>
        <v>1</v>
      </c>
      <c r="N158" s="26"/>
      <c r="O158" s="26"/>
      <c r="P158" s="26"/>
      <c r="Q158" s="26"/>
      <c r="R158" s="27"/>
      <c r="S158" s="28" t="s">
        <v>66</v>
      </c>
      <c r="T158" s="28" t="s">
        <v>25</v>
      </c>
      <c r="U158" s="28" t="s">
        <v>89</v>
      </c>
      <c r="V158" s="29" t="s">
        <v>69</v>
      </c>
      <c r="W158" s="67"/>
    </row>
    <row r="159" spans="1:23" ht="28">
      <c r="A159" s="17" t="str">
        <f ca="1">IFERROR(__xludf.DUMMYFUNCTION("""COMPUTED_VALUE"""),"GCSE")</f>
        <v>GCSE</v>
      </c>
      <c r="B159" s="17">
        <f ca="1">IFERROR(__xludf.DUMMYFUNCTION("""COMPUTED_VALUE"""),8)</f>
        <v>8</v>
      </c>
      <c r="C159" s="19" t="str">
        <f ca="1">IFERROR(__xludf.DUMMYFUNCTION("""COMPUTED_VALUE"""),"Data representations")</f>
        <v>Data representations</v>
      </c>
      <c r="D159" s="17">
        <f ca="1">IFERROR(__xludf.DUMMYFUNCTION("""COMPUTED_VALUE"""),6)</f>
        <v>6</v>
      </c>
      <c r="E159" s="19" t="str">
        <f ca="1">IFERROR(__xludf.DUMMYFUNCTION("""COMPUTED_VALUE"""),"Use two’s complement to represent positive and negative integers")</f>
        <v>Use two’s complement to represent positive and negative integers</v>
      </c>
      <c r="F159" s="30" t="b">
        <f ca="1">IFERROR(__xludf.DUMMYFUNCTION("""COMPUTED_VALUE"""),TRUE)</f>
        <v>1</v>
      </c>
      <c r="G159" s="26" t="b">
        <f ca="1">IFERROR(__xludf.DUMMYFUNCTION("""COMPUTED_VALUE"""),TRUE)</f>
        <v>1</v>
      </c>
      <c r="H159" s="27"/>
      <c r="I159" s="30"/>
      <c r="J159" s="26"/>
      <c r="K159" s="26"/>
      <c r="L159" s="26"/>
      <c r="M159" s="26" t="b">
        <f ca="1">IFERROR(__xludf.DUMMYFUNCTION("""COMPUTED_VALUE"""),TRUE)</f>
        <v>1</v>
      </c>
      <c r="N159" s="26"/>
      <c r="O159" s="26"/>
      <c r="P159" s="26"/>
      <c r="Q159" s="26"/>
      <c r="R159" s="27"/>
      <c r="S159" s="28" t="s">
        <v>66</v>
      </c>
      <c r="T159" s="28" t="s">
        <v>25</v>
      </c>
      <c r="U159" s="28" t="s">
        <v>89</v>
      </c>
      <c r="V159" s="29" t="s">
        <v>69</v>
      </c>
      <c r="W159" s="67"/>
    </row>
    <row r="160" spans="1:23" ht="28">
      <c r="A160" s="17" t="str">
        <f ca="1">IFERROR(__xludf.DUMMYFUNCTION("""COMPUTED_VALUE"""),"GCSE")</f>
        <v>GCSE</v>
      </c>
      <c r="B160" s="17">
        <f ca="1">IFERROR(__xludf.DUMMYFUNCTION("""COMPUTED_VALUE"""),8)</f>
        <v>8</v>
      </c>
      <c r="C160" s="19" t="str">
        <f ca="1">IFERROR(__xludf.DUMMYFUNCTION("""COMPUTED_VALUE"""),"Data representations")</f>
        <v>Data representations</v>
      </c>
      <c r="D160" s="17">
        <f ca="1">IFERROR(__xludf.DUMMYFUNCTION("""COMPUTED_VALUE"""),7)</f>
        <v>7</v>
      </c>
      <c r="E160" s="19" t="str">
        <f ca="1">IFERROR(__xludf.DUMMYFUNCTION("""COMPUTED_VALUE"""),"Convert decimal numbers to and from hexadecimal numbers
")</f>
        <v xml:space="preserve">Convert decimal numbers to and from hexadecimal numbers
</v>
      </c>
      <c r="F160" s="30" t="b">
        <f ca="1">IFERROR(__xludf.DUMMYFUNCTION("""COMPUTED_VALUE"""),TRUE)</f>
        <v>1</v>
      </c>
      <c r="G160" s="26" t="b">
        <f ca="1">IFERROR(__xludf.DUMMYFUNCTION("""COMPUTED_VALUE"""),TRUE)</f>
        <v>1</v>
      </c>
      <c r="H160" s="27"/>
      <c r="I160" s="30"/>
      <c r="J160" s="26"/>
      <c r="K160" s="26"/>
      <c r="L160" s="26"/>
      <c r="M160" s="26" t="b">
        <f ca="1">IFERROR(__xludf.DUMMYFUNCTION("""COMPUTED_VALUE"""),TRUE)</f>
        <v>1</v>
      </c>
      <c r="N160" s="26"/>
      <c r="O160" s="26"/>
      <c r="P160" s="26"/>
      <c r="Q160" s="26"/>
      <c r="R160" s="27"/>
      <c r="S160" s="28" t="s">
        <v>66</v>
      </c>
      <c r="T160" s="28" t="s">
        <v>25</v>
      </c>
      <c r="U160" s="28" t="s">
        <v>89</v>
      </c>
      <c r="V160" s="29" t="s">
        <v>69</v>
      </c>
      <c r="W160" s="67"/>
    </row>
    <row r="161" spans="1:23" ht="28">
      <c r="A161" s="17" t="str">
        <f ca="1">IFERROR(__xludf.DUMMYFUNCTION("""COMPUTED_VALUE"""),"GCSE")</f>
        <v>GCSE</v>
      </c>
      <c r="B161" s="17">
        <f ca="1">IFERROR(__xludf.DUMMYFUNCTION("""COMPUTED_VALUE"""),8)</f>
        <v>8</v>
      </c>
      <c r="C161" s="19" t="str">
        <f ca="1">IFERROR(__xludf.DUMMYFUNCTION("""COMPUTED_VALUE"""),"Data representations")</f>
        <v>Data representations</v>
      </c>
      <c r="D161" s="17">
        <f ca="1">IFERROR(__xludf.DUMMYFUNCTION("""COMPUTED_VALUE"""),7)</f>
        <v>7</v>
      </c>
      <c r="E161" s="19" t="str">
        <f ca="1">IFERROR(__xludf.DUMMYFUNCTION("""COMPUTED_VALUE"""),"Explain how numbers are represented using hexadecimal
")</f>
        <v xml:space="preserve">Explain how numbers are represented using hexadecimal
</v>
      </c>
      <c r="F161" s="30" t="b">
        <f ca="1">IFERROR(__xludf.DUMMYFUNCTION("""COMPUTED_VALUE"""),TRUE)</f>
        <v>1</v>
      </c>
      <c r="G161" s="26" t="b">
        <f ca="1">IFERROR(__xludf.DUMMYFUNCTION("""COMPUTED_VALUE"""),TRUE)</f>
        <v>1</v>
      </c>
      <c r="H161" s="27"/>
      <c r="I161" s="30"/>
      <c r="J161" s="26"/>
      <c r="K161" s="26"/>
      <c r="L161" s="26"/>
      <c r="M161" s="26" t="b">
        <f ca="1">IFERROR(__xludf.DUMMYFUNCTION("""COMPUTED_VALUE"""),TRUE)</f>
        <v>1</v>
      </c>
      <c r="N161" s="26"/>
      <c r="O161" s="26"/>
      <c r="P161" s="26"/>
      <c r="Q161" s="26"/>
      <c r="R161" s="27"/>
      <c r="S161" s="28" t="s">
        <v>28</v>
      </c>
      <c r="T161" s="28" t="s">
        <v>92</v>
      </c>
      <c r="U161" s="28" t="s">
        <v>89</v>
      </c>
      <c r="V161" s="29" t="s">
        <v>69</v>
      </c>
      <c r="W161" s="67"/>
    </row>
    <row r="162" spans="1:23" ht="28">
      <c r="A162" s="17" t="str">
        <f ca="1">IFERROR(__xludf.DUMMYFUNCTION("""COMPUTED_VALUE"""),"GCSE")</f>
        <v>GCSE</v>
      </c>
      <c r="B162" s="17">
        <f ca="1">IFERROR(__xludf.DUMMYFUNCTION("""COMPUTED_VALUE"""),8)</f>
        <v>8</v>
      </c>
      <c r="C162" s="19" t="str">
        <f ca="1">IFERROR(__xludf.DUMMYFUNCTION("""COMPUTED_VALUE"""),"Data representations")</f>
        <v>Data representations</v>
      </c>
      <c r="D162" s="17">
        <f ca="1">IFERROR(__xludf.DUMMYFUNCTION("""COMPUTED_VALUE"""),7)</f>
        <v>7</v>
      </c>
      <c r="E162" s="19" t="str">
        <f ca="1">IFERROR(__xludf.DUMMYFUNCTION("""COMPUTED_VALUE"""),"Explain why and where hexadecimal notation is used")</f>
        <v>Explain why and where hexadecimal notation is used</v>
      </c>
      <c r="F162" s="30" t="b">
        <f ca="1">IFERROR(__xludf.DUMMYFUNCTION("""COMPUTED_VALUE"""),TRUE)</f>
        <v>1</v>
      </c>
      <c r="G162" s="26" t="b">
        <f ca="1">IFERROR(__xludf.DUMMYFUNCTION("""COMPUTED_VALUE"""),TRUE)</f>
        <v>1</v>
      </c>
      <c r="H162" s="27"/>
      <c r="I162" s="30"/>
      <c r="J162" s="26"/>
      <c r="K162" s="26"/>
      <c r="L162" s="26"/>
      <c r="M162" s="26" t="b">
        <f ca="1">IFERROR(__xludf.DUMMYFUNCTION("""COMPUTED_VALUE"""),TRUE)</f>
        <v>1</v>
      </c>
      <c r="N162" s="26"/>
      <c r="O162" s="26"/>
      <c r="P162" s="26"/>
      <c r="Q162" s="26"/>
      <c r="R162" s="27"/>
      <c r="S162" s="28" t="s">
        <v>28</v>
      </c>
      <c r="T162" s="28" t="s">
        <v>88</v>
      </c>
      <c r="U162" s="28" t="s">
        <v>89</v>
      </c>
      <c r="V162" s="29" t="s">
        <v>68</v>
      </c>
      <c r="W162" s="67"/>
    </row>
    <row r="163" spans="1:23" ht="28">
      <c r="A163" s="17" t="str">
        <f ca="1">IFERROR(__xludf.DUMMYFUNCTION("""COMPUTED_VALUE"""),"GCSE")</f>
        <v>GCSE</v>
      </c>
      <c r="B163" s="17">
        <f ca="1">IFERROR(__xludf.DUMMYFUNCTION("""COMPUTED_VALUE"""),8)</f>
        <v>8</v>
      </c>
      <c r="C163" s="19" t="str">
        <f ca="1">IFERROR(__xludf.DUMMYFUNCTION("""COMPUTED_VALUE"""),"Data representations")</f>
        <v>Data representations</v>
      </c>
      <c r="D163" s="17">
        <f ca="1">IFERROR(__xludf.DUMMYFUNCTION("""COMPUTED_VALUE"""),8)</f>
        <v>8</v>
      </c>
      <c r="E163" s="19" t="str">
        <f ca="1">IFERROR(__xludf.DUMMYFUNCTION("""COMPUTED_VALUE"""),"Describe how character codes are commonly grouped and run in sequence within encoding tables")</f>
        <v>Describe how character codes are commonly grouped and run in sequence within encoding tables</v>
      </c>
      <c r="F163" s="30" t="b">
        <f ca="1">IFERROR(__xludf.DUMMYFUNCTION("""COMPUTED_VALUE"""),TRUE)</f>
        <v>1</v>
      </c>
      <c r="G163" s="26" t="b">
        <f ca="1">IFERROR(__xludf.DUMMYFUNCTION("""COMPUTED_VALUE"""),TRUE)</f>
        <v>1</v>
      </c>
      <c r="H163" s="27"/>
      <c r="I163" s="30"/>
      <c r="J163" s="26"/>
      <c r="K163" s="26"/>
      <c r="L163" s="26"/>
      <c r="M163" s="26" t="b">
        <f ca="1">IFERROR(__xludf.DUMMYFUNCTION("""COMPUTED_VALUE"""),TRUE)</f>
        <v>1</v>
      </c>
      <c r="N163" s="26"/>
      <c r="O163" s="26"/>
      <c r="P163" s="26"/>
      <c r="Q163" s="26"/>
      <c r="R163" s="27"/>
      <c r="S163" s="28" t="s">
        <v>28</v>
      </c>
      <c r="T163" s="28" t="s">
        <v>88</v>
      </c>
      <c r="U163" s="28" t="s">
        <v>89</v>
      </c>
      <c r="V163" s="29" t="s">
        <v>68</v>
      </c>
      <c r="W163" s="67"/>
    </row>
    <row r="164" spans="1:23" ht="28">
      <c r="A164" s="17" t="str">
        <f ca="1">IFERROR(__xludf.DUMMYFUNCTION("""COMPUTED_VALUE"""),"GCSE")</f>
        <v>GCSE</v>
      </c>
      <c r="B164" s="17">
        <f ca="1">IFERROR(__xludf.DUMMYFUNCTION("""COMPUTED_VALUE"""),8)</f>
        <v>8</v>
      </c>
      <c r="C164" s="19" t="str">
        <f ca="1">IFERROR(__xludf.DUMMYFUNCTION("""COMPUTED_VALUE"""),"Data representations")</f>
        <v>Data representations</v>
      </c>
      <c r="D164" s="17">
        <f ca="1">IFERROR(__xludf.DUMMYFUNCTION("""COMPUTED_VALUE"""),8)</f>
        <v>8</v>
      </c>
      <c r="E164" s="19" t="str">
        <f ca="1">IFERROR(__xludf.DUMMYFUNCTION("""COMPUTED_VALUE"""),"Determine the maximum number of states that can be represented by a binary pattern of a given length")</f>
        <v>Determine the maximum number of states that can be represented by a binary pattern of a given length</v>
      </c>
      <c r="F164" s="30" t="b">
        <f ca="1">IFERROR(__xludf.DUMMYFUNCTION("""COMPUTED_VALUE"""),TRUE)</f>
        <v>1</v>
      </c>
      <c r="G164" s="26" t="b">
        <f ca="1">IFERROR(__xludf.DUMMYFUNCTION("""COMPUTED_VALUE"""),TRUE)</f>
        <v>1</v>
      </c>
      <c r="H164" s="27"/>
      <c r="I164" s="30"/>
      <c r="J164" s="26"/>
      <c r="K164" s="26"/>
      <c r="L164" s="26"/>
      <c r="M164" s="26" t="b">
        <f ca="1">IFERROR(__xludf.DUMMYFUNCTION("""COMPUTED_VALUE"""),TRUE)</f>
        <v>1</v>
      </c>
      <c r="N164" s="26"/>
      <c r="O164" s="26"/>
      <c r="P164" s="26"/>
      <c r="Q164" s="26"/>
      <c r="R164" s="27"/>
      <c r="S164" s="28" t="s">
        <v>66</v>
      </c>
      <c r="T164" s="28" t="s">
        <v>88</v>
      </c>
      <c r="U164" s="28" t="s">
        <v>89</v>
      </c>
      <c r="V164" s="29" t="s">
        <v>68</v>
      </c>
      <c r="W164" s="67"/>
    </row>
    <row r="165" spans="1:23" ht="28">
      <c r="A165" s="17" t="str">
        <f ca="1">IFERROR(__xludf.DUMMYFUNCTION("""COMPUTED_VALUE"""),"GCSE")</f>
        <v>GCSE</v>
      </c>
      <c r="B165" s="17">
        <f ca="1">IFERROR(__xludf.DUMMYFUNCTION("""COMPUTED_VALUE"""),8)</f>
        <v>8</v>
      </c>
      <c r="C165" s="19" t="str">
        <f ca="1">IFERROR(__xludf.DUMMYFUNCTION("""COMPUTED_VALUE"""),"Data representations")</f>
        <v>Data representations</v>
      </c>
      <c r="D165" s="17">
        <f ca="1">IFERROR(__xludf.DUMMYFUNCTION("""COMPUTED_VALUE"""),8)</f>
        <v>8</v>
      </c>
      <c r="E165" s="19" t="str">
        <f ca="1">IFERROR(__xludf.DUMMYFUNCTION("""COMPUTED_VALUE"""),"Explain how ASCII is used to represent characters, and its limitations")</f>
        <v>Explain how ASCII is used to represent characters, and its limitations</v>
      </c>
      <c r="F165" s="30" t="b">
        <f ca="1">IFERROR(__xludf.DUMMYFUNCTION("""COMPUTED_VALUE"""),TRUE)</f>
        <v>1</v>
      </c>
      <c r="G165" s="26" t="b">
        <f ca="1">IFERROR(__xludf.DUMMYFUNCTION("""COMPUTED_VALUE"""),TRUE)</f>
        <v>1</v>
      </c>
      <c r="H165" s="27"/>
      <c r="I165" s="30"/>
      <c r="J165" s="26"/>
      <c r="K165" s="26"/>
      <c r="L165" s="26"/>
      <c r="M165" s="26" t="b">
        <f ca="1">IFERROR(__xludf.DUMMYFUNCTION("""COMPUTED_VALUE"""),TRUE)</f>
        <v>1</v>
      </c>
      <c r="N165" s="26"/>
      <c r="O165" s="26"/>
      <c r="P165" s="26"/>
      <c r="Q165" s="26"/>
      <c r="R165" s="27"/>
      <c r="S165" s="28" t="s">
        <v>28</v>
      </c>
      <c r="T165" s="28"/>
      <c r="U165" s="28" t="s">
        <v>89</v>
      </c>
      <c r="V165" s="29"/>
      <c r="W165" s="67"/>
    </row>
    <row r="166" spans="1:23" ht="21">
      <c r="A166" s="17" t="str">
        <f ca="1">IFERROR(__xludf.DUMMYFUNCTION("""COMPUTED_VALUE"""),"GCSE")</f>
        <v>GCSE</v>
      </c>
      <c r="B166" s="17">
        <f ca="1">IFERROR(__xludf.DUMMYFUNCTION("""COMPUTED_VALUE"""),8)</f>
        <v>8</v>
      </c>
      <c r="C166" s="19" t="str">
        <f ca="1">IFERROR(__xludf.DUMMYFUNCTION("""COMPUTED_VALUE"""),"Data representations")</f>
        <v>Data representations</v>
      </c>
      <c r="D166" s="17">
        <f ca="1">IFERROR(__xludf.DUMMYFUNCTION("""COMPUTED_VALUE"""),8)</f>
        <v>8</v>
      </c>
      <c r="E166" s="19" t="str">
        <f ca="1">IFERROR(__xludf.DUMMYFUNCTION("""COMPUTED_VALUE"""),"Explain what a character set is")</f>
        <v>Explain what a character set is</v>
      </c>
      <c r="F166" s="30" t="b">
        <f ca="1">IFERROR(__xludf.DUMMYFUNCTION("""COMPUTED_VALUE"""),TRUE)</f>
        <v>1</v>
      </c>
      <c r="G166" s="26" t="b">
        <f ca="1">IFERROR(__xludf.DUMMYFUNCTION("""COMPUTED_VALUE"""),TRUE)</f>
        <v>1</v>
      </c>
      <c r="H166" s="27"/>
      <c r="I166" s="30"/>
      <c r="J166" s="26"/>
      <c r="K166" s="26"/>
      <c r="L166" s="26"/>
      <c r="M166" s="26" t="b">
        <f ca="1">IFERROR(__xludf.DUMMYFUNCTION("""COMPUTED_VALUE"""),TRUE)</f>
        <v>1</v>
      </c>
      <c r="N166" s="26"/>
      <c r="O166" s="26"/>
      <c r="P166" s="26"/>
      <c r="Q166" s="26"/>
      <c r="R166" s="27"/>
      <c r="S166" s="28" t="s">
        <v>28</v>
      </c>
      <c r="T166" s="28"/>
      <c r="U166" s="28" t="s">
        <v>67</v>
      </c>
      <c r="V166" s="29"/>
      <c r="W166" s="67"/>
    </row>
    <row r="167" spans="1:23" ht="21">
      <c r="A167" s="17" t="str">
        <f ca="1">IFERROR(__xludf.DUMMYFUNCTION("""COMPUTED_VALUE"""),"GCSE")</f>
        <v>GCSE</v>
      </c>
      <c r="B167" s="17">
        <f ca="1">IFERROR(__xludf.DUMMYFUNCTION("""COMPUTED_VALUE"""),8)</f>
        <v>8</v>
      </c>
      <c r="C167" s="19" t="str">
        <f ca="1">IFERROR(__xludf.DUMMYFUNCTION("""COMPUTED_VALUE"""),"Data representations")</f>
        <v>Data representations</v>
      </c>
      <c r="D167" s="17">
        <f ca="1">IFERROR(__xludf.DUMMYFUNCTION("""COMPUTED_VALUE"""),9)</f>
        <v>9</v>
      </c>
      <c r="E167" s="19" t="str">
        <f ca="1">IFERROR(__xludf.DUMMYFUNCTION("""COMPUTED_VALUE"""),"Calculate the number of bytes needed to store a piece of text")</f>
        <v>Calculate the number of bytes needed to store a piece of text</v>
      </c>
      <c r="F167" s="30" t="b">
        <f ca="1">IFERROR(__xludf.DUMMYFUNCTION("""COMPUTED_VALUE"""),TRUE)</f>
        <v>1</v>
      </c>
      <c r="G167" s="26" t="b">
        <f ca="1">IFERROR(__xludf.DUMMYFUNCTION("""COMPUTED_VALUE"""),TRUE)</f>
        <v>1</v>
      </c>
      <c r="H167" s="27"/>
      <c r="I167" s="30"/>
      <c r="J167" s="26"/>
      <c r="K167" s="26"/>
      <c r="L167" s="26"/>
      <c r="M167" s="26" t="b">
        <f ca="1">IFERROR(__xludf.DUMMYFUNCTION("""COMPUTED_VALUE"""),TRUE)</f>
        <v>1</v>
      </c>
      <c r="N167" s="26"/>
      <c r="O167" s="26"/>
      <c r="P167" s="26"/>
      <c r="Q167" s="26"/>
      <c r="R167" s="27"/>
      <c r="S167" s="28" t="s">
        <v>28</v>
      </c>
      <c r="T167" s="28" t="s">
        <v>88</v>
      </c>
      <c r="U167" s="28"/>
      <c r="V167" s="29"/>
      <c r="W167" s="67"/>
    </row>
    <row r="168" spans="1:23" ht="28">
      <c r="A168" s="17" t="str">
        <f ca="1">IFERROR(__xludf.DUMMYFUNCTION("""COMPUTED_VALUE"""),"GCSE")</f>
        <v>GCSE</v>
      </c>
      <c r="B168" s="17">
        <f ca="1">IFERROR(__xludf.DUMMYFUNCTION("""COMPUTED_VALUE"""),8)</f>
        <v>8</v>
      </c>
      <c r="C168" s="19" t="str">
        <f ca="1">IFERROR(__xludf.DUMMYFUNCTION("""COMPUTED_VALUE"""),"Data representations")</f>
        <v>Data representations</v>
      </c>
      <c r="D168" s="17">
        <f ca="1">IFERROR(__xludf.DUMMYFUNCTION("""COMPUTED_VALUE"""),9)</f>
        <v>9</v>
      </c>
      <c r="E168" s="19" t="str">
        <f ca="1">IFERROR(__xludf.DUMMYFUNCTION("""COMPUTED_VALUE"""),"Explain the need for Unicode")</f>
        <v>Explain the need for Unicode</v>
      </c>
      <c r="F168" s="30" t="b">
        <f ca="1">IFERROR(__xludf.DUMMYFUNCTION("""COMPUTED_VALUE"""),TRUE)</f>
        <v>1</v>
      </c>
      <c r="G168" s="26" t="b">
        <f ca="1">IFERROR(__xludf.DUMMYFUNCTION("""COMPUTED_VALUE"""),TRUE)</f>
        <v>1</v>
      </c>
      <c r="H168" s="27"/>
      <c r="I168" s="30"/>
      <c r="J168" s="26"/>
      <c r="K168" s="26"/>
      <c r="L168" s="26"/>
      <c r="M168" s="26" t="b">
        <f ca="1">IFERROR(__xludf.DUMMYFUNCTION("""COMPUTED_VALUE"""),TRUE)</f>
        <v>1</v>
      </c>
      <c r="N168" s="26"/>
      <c r="O168" s="26"/>
      <c r="P168" s="26"/>
      <c r="Q168" s="26"/>
      <c r="R168" s="27"/>
      <c r="S168" s="28" t="s">
        <v>28</v>
      </c>
      <c r="T168" s="28" t="s">
        <v>88</v>
      </c>
      <c r="U168" s="28" t="s">
        <v>89</v>
      </c>
      <c r="V168" s="29" t="s">
        <v>68</v>
      </c>
      <c r="W168" s="67"/>
    </row>
    <row r="169" spans="1:23" ht="28">
      <c r="A169" s="17" t="str">
        <f ca="1">IFERROR(__xludf.DUMMYFUNCTION("""COMPUTED_VALUE"""),"GCSE")</f>
        <v>GCSE</v>
      </c>
      <c r="B169" s="17">
        <f ca="1">IFERROR(__xludf.DUMMYFUNCTION("""COMPUTED_VALUE"""),8)</f>
        <v>8</v>
      </c>
      <c r="C169" s="19" t="str">
        <f ca="1">IFERROR(__xludf.DUMMYFUNCTION("""COMPUTED_VALUE"""),"Data representations")</f>
        <v>Data representations</v>
      </c>
      <c r="D169" s="17">
        <f ca="1">IFERROR(__xludf.DUMMYFUNCTION("""COMPUTED_VALUE"""),9)</f>
        <v>9</v>
      </c>
      <c r="E169" s="19" t="str">
        <f ca="1">IFERROR(__xludf.DUMMYFUNCTION("""COMPUTED_VALUE"""),"State that Unicode uses the same codes as ASCII up to 127")</f>
        <v>State that Unicode uses the same codes as ASCII up to 127</v>
      </c>
      <c r="F169" s="30" t="b">
        <f ca="1">IFERROR(__xludf.DUMMYFUNCTION("""COMPUTED_VALUE"""),TRUE)</f>
        <v>1</v>
      </c>
      <c r="G169" s="26" t="b">
        <f ca="1">IFERROR(__xludf.DUMMYFUNCTION("""COMPUTED_VALUE"""),TRUE)</f>
        <v>1</v>
      </c>
      <c r="H169" s="27"/>
      <c r="I169" s="30"/>
      <c r="J169" s="26"/>
      <c r="K169" s="26"/>
      <c r="L169" s="26"/>
      <c r="M169" s="26" t="b">
        <f ca="1">IFERROR(__xludf.DUMMYFUNCTION("""COMPUTED_VALUE"""),TRUE)</f>
        <v>1</v>
      </c>
      <c r="N169" s="26"/>
      <c r="O169" s="26"/>
      <c r="P169" s="26"/>
      <c r="Q169" s="26"/>
      <c r="R169" s="27"/>
      <c r="S169" s="28" t="s">
        <v>28</v>
      </c>
      <c r="T169" s="28" t="s">
        <v>88</v>
      </c>
      <c r="U169" s="28" t="s">
        <v>89</v>
      </c>
      <c r="V169" s="29" t="s">
        <v>68</v>
      </c>
      <c r="W169" s="67"/>
    </row>
    <row r="170" spans="1:23" ht="28">
      <c r="A170" s="17" t="str">
        <f ca="1">IFERROR(__xludf.DUMMYFUNCTION("""COMPUTED_VALUE"""),"GCSE")</f>
        <v>GCSE</v>
      </c>
      <c r="B170" s="17">
        <f ca="1">IFERROR(__xludf.DUMMYFUNCTION("""COMPUTED_VALUE"""),8)</f>
        <v>8</v>
      </c>
      <c r="C170" s="19" t="str">
        <f ca="1">IFERROR(__xludf.DUMMYFUNCTION("""COMPUTED_VALUE"""),"Data representations")</f>
        <v>Data representations</v>
      </c>
      <c r="D170" s="17">
        <f ca="1">IFERROR(__xludf.DUMMYFUNCTION("""COMPUTED_VALUE"""),10)</f>
        <v>10</v>
      </c>
      <c r="E170" s="19" t="str">
        <f ca="1">IFERROR(__xludf.DUMMYFUNCTION("""COMPUTED_VALUE"""),"Define ‘metadata’")</f>
        <v>Define ‘metadata’</v>
      </c>
      <c r="F170" s="30" t="b">
        <f ca="1">IFERROR(__xludf.DUMMYFUNCTION("""COMPUTED_VALUE"""),TRUE)</f>
        <v>1</v>
      </c>
      <c r="G170" s="26" t="b">
        <f ca="1">IFERROR(__xludf.DUMMYFUNCTION("""COMPUTED_VALUE"""),TRUE)</f>
        <v>1</v>
      </c>
      <c r="H170" s="27"/>
      <c r="I170" s="30"/>
      <c r="J170" s="26"/>
      <c r="K170" s="26"/>
      <c r="L170" s="26"/>
      <c r="M170" s="26" t="b">
        <f ca="1">IFERROR(__xludf.DUMMYFUNCTION("""COMPUTED_VALUE"""),TRUE)</f>
        <v>1</v>
      </c>
      <c r="N170" s="26"/>
      <c r="O170" s="26"/>
      <c r="P170" s="26"/>
      <c r="Q170" s="26"/>
      <c r="R170" s="27"/>
      <c r="S170" s="28" t="s">
        <v>28</v>
      </c>
      <c r="T170" s="28" t="s">
        <v>88</v>
      </c>
      <c r="U170" s="28" t="s">
        <v>89</v>
      </c>
      <c r="V170" s="29"/>
      <c r="W170" s="67"/>
    </row>
    <row r="171" spans="1:23" ht="28">
      <c r="A171" s="17" t="str">
        <f ca="1">IFERROR(__xludf.DUMMYFUNCTION("""COMPUTED_VALUE"""),"GCSE")</f>
        <v>GCSE</v>
      </c>
      <c r="B171" s="17">
        <f ca="1">IFERROR(__xludf.DUMMYFUNCTION("""COMPUTED_VALUE"""),8)</f>
        <v>8</v>
      </c>
      <c r="C171" s="19" t="str">
        <f ca="1">IFERROR(__xludf.DUMMYFUNCTION("""COMPUTED_VALUE"""),"Data representations")</f>
        <v>Data representations</v>
      </c>
      <c r="D171" s="17">
        <f ca="1">IFERROR(__xludf.DUMMYFUNCTION("""COMPUTED_VALUE"""),10)</f>
        <v>10</v>
      </c>
      <c r="E171" s="19" t="str">
        <f ca="1">IFERROR(__xludf.DUMMYFUNCTION("""COMPUTED_VALUE"""),"Describe colour depth and resolution")</f>
        <v>Describe colour depth and resolution</v>
      </c>
      <c r="F171" s="30" t="b">
        <f ca="1">IFERROR(__xludf.DUMMYFUNCTION("""COMPUTED_VALUE"""),TRUE)</f>
        <v>1</v>
      </c>
      <c r="G171" s="26" t="b">
        <f ca="1">IFERROR(__xludf.DUMMYFUNCTION("""COMPUTED_VALUE"""),TRUE)</f>
        <v>1</v>
      </c>
      <c r="H171" s="27"/>
      <c r="I171" s="30"/>
      <c r="J171" s="26"/>
      <c r="K171" s="26"/>
      <c r="L171" s="26"/>
      <c r="M171" s="26" t="b">
        <f ca="1">IFERROR(__xludf.DUMMYFUNCTION("""COMPUTED_VALUE"""),TRUE)</f>
        <v>1</v>
      </c>
      <c r="N171" s="26"/>
      <c r="O171" s="26"/>
      <c r="P171" s="26"/>
      <c r="Q171" s="26"/>
      <c r="R171" s="27"/>
      <c r="S171" s="28"/>
      <c r="T171" s="28" t="s">
        <v>88</v>
      </c>
      <c r="U171" s="28" t="s">
        <v>89</v>
      </c>
      <c r="V171" s="29"/>
      <c r="W171" s="67"/>
    </row>
    <row r="172" spans="1:23" ht="28">
      <c r="A172" s="17" t="str">
        <f ca="1">IFERROR(__xludf.DUMMYFUNCTION("""COMPUTED_VALUE"""),"GCSE")</f>
        <v>GCSE</v>
      </c>
      <c r="B172" s="17">
        <f ca="1">IFERROR(__xludf.DUMMYFUNCTION("""COMPUTED_VALUE"""),8)</f>
        <v>8</v>
      </c>
      <c r="C172" s="19" t="str">
        <f ca="1">IFERROR(__xludf.DUMMYFUNCTION("""COMPUTED_VALUE"""),"Data representations")</f>
        <v>Data representations</v>
      </c>
      <c r="D172" s="17">
        <f ca="1">IFERROR(__xludf.DUMMYFUNCTION("""COMPUTED_VALUE"""),10)</f>
        <v>10</v>
      </c>
      <c r="E172" s="19" t="str">
        <f ca="1">IFERROR(__xludf.DUMMYFUNCTION("""COMPUTED_VALUE"""),"Describe what a pixel is and how pixels relate to bitmap images")</f>
        <v>Describe what a pixel is and how pixels relate to bitmap images</v>
      </c>
      <c r="F172" s="30" t="b">
        <f ca="1">IFERROR(__xludf.DUMMYFUNCTION("""COMPUTED_VALUE"""),TRUE)</f>
        <v>1</v>
      </c>
      <c r="G172" s="26" t="b">
        <f ca="1">IFERROR(__xludf.DUMMYFUNCTION("""COMPUTED_VALUE"""),TRUE)</f>
        <v>1</v>
      </c>
      <c r="H172" s="27"/>
      <c r="I172" s="30"/>
      <c r="J172" s="26"/>
      <c r="K172" s="26"/>
      <c r="L172" s="26"/>
      <c r="M172" s="26" t="b">
        <f ca="1">IFERROR(__xludf.DUMMYFUNCTION("""COMPUTED_VALUE"""),TRUE)</f>
        <v>1</v>
      </c>
      <c r="N172" s="26"/>
      <c r="O172" s="26"/>
      <c r="P172" s="26"/>
      <c r="Q172" s="26"/>
      <c r="R172" s="27"/>
      <c r="S172" s="28" t="s">
        <v>28</v>
      </c>
      <c r="T172" s="28" t="s">
        <v>88</v>
      </c>
      <c r="U172" s="28" t="s">
        <v>89</v>
      </c>
      <c r="V172" s="29"/>
      <c r="W172" s="67"/>
    </row>
    <row r="173" spans="1:23" ht="28">
      <c r="A173" s="17" t="str">
        <f ca="1">IFERROR(__xludf.DUMMYFUNCTION("""COMPUTED_VALUE"""),"GCSE")</f>
        <v>GCSE</v>
      </c>
      <c r="B173" s="17">
        <f ca="1">IFERROR(__xludf.DUMMYFUNCTION("""COMPUTED_VALUE"""),8)</f>
        <v>8</v>
      </c>
      <c r="C173" s="19" t="str">
        <f ca="1">IFERROR(__xludf.DUMMYFUNCTION("""COMPUTED_VALUE"""),"Data representations")</f>
        <v>Data representations</v>
      </c>
      <c r="D173" s="17">
        <f ca="1">IFERROR(__xludf.DUMMYFUNCTION("""COMPUTED_VALUE"""),10)</f>
        <v>10</v>
      </c>
      <c r="E173" s="19" t="str">
        <f ca="1">IFERROR(__xludf.DUMMYFUNCTION("""COMPUTED_VALUE"""),"Give examples of metadata applied to a bitmap image")</f>
        <v>Give examples of metadata applied to a bitmap image</v>
      </c>
      <c r="F173" s="30" t="b">
        <f ca="1">IFERROR(__xludf.DUMMYFUNCTION("""COMPUTED_VALUE"""),TRUE)</f>
        <v>1</v>
      </c>
      <c r="G173" s="26" t="b">
        <f ca="1">IFERROR(__xludf.DUMMYFUNCTION("""COMPUTED_VALUE"""),TRUE)</f>
        <v>1</v>
      </c>
      <c r="H173" s="27"/>
      <c r="I173" s="30"/>
      <c r="J173" s="26"/>
      <c r="K173" s="26"/>
      <c r="L173" s="26"/>
      <c r="M173" s="26" t="b">
        <f ca="1">IFERROR(__xludf.DUMMYFUNCTION("""COMPUTED_VALUE"""),TRUE)</f>
        <v>1</v>
      </c>
      <c r="N173" s="26"/>
      <c r="O173" s="26"/>
      <c r="P173" s="26"/>
      <c r="Q173" s="26"/>
      <c r="R173" s="27"/>
      <c r="S173" s="28" t="s">
        <v>70</v>
      </c>
      <c r="T173" s="28" t="s">
        <v>79</v>
      </c>
      <c r="U173" s="28" t="s">
        <v>89</v>
      </c>
      <c r="V173" s="29" t="s">
        <v>68</v>
      </c>
      <c r="W173" s="67"/>
    </row>
    <row r="174" spans="1:23" ht="21">
      <c r="A174" s="17" t="str">
        <f ca="1">IFERROR(__xludf.DUMMYFUNCTION("""COMPUTED_VALUE"""),"GCSE")</f>
        <v>GCSE</v>
      </c>
      <c r="B174" s="17">
        <f ca="1">IFERROR(__xludf.DUMMYFUNCTION("""COMPUTED_VALUE"""),8)</f>
        <v>8</v>
      </c>
      <c r="C174" s="19" t="str">
        <f ca="1">IFERROR(__xludf.DUMMYFUNCTION("""COMPUTED_VALUE"""),"Data representations")</f>
        <v>Data representations</v>
      </c>
      <c r="D174" s="17">
        <f ca="1">IFERROR(__xludf.DUMMYFUNCTION("""COMPUTED_VALUE"""),11)</f>
        <v>11</v>
      </c>
      <c r="E174" s="19" t="str">
        <f ca="1">IFERROR(__xludf.DUMMYFUNCTION("""COMPUTED_VALUE"""),"Calculate the file size of bitmaps")</f>
        <v>Calculate the file size of bitmaps</v>
      </c>
      <c r="F174" s="30" t="b">
        <f ca="1">IFERROR(__xludf.DUMMYFUNCTION("""COMPUTED_VALUE"""),TRUE)</f>
        <v>1</v>
      </c>
      <c r="G174" s="26" t="b">
        <f ca="1">IFERROR(__xludf.DUMMYFUNCTION("""COMPUTED_VALUE"""),TRUE)</f>
        <v>1</v>
      </c>
      <c r="H174" s="27"/>
      <c r="I174" s="30"/>
      <c r="J174" s="26"/>
      <c r="K174" s="26"/>
      <c r="L174" s="26"/>
      <c r="M174" s="26" t="b">
        <f ca="1">IFERROR(__xludf.DUMMYFUNCTION("""COMPUTED_VALUE"""),TRUE)</f>
        <v>1</v>
      </c>
      <c r="N174" s="26"/>
      <c r="O174" s="26"/>
      <c r="P174" s="26"/>
      <c r="Q174" s="26"/>
      <c r="R174" s="27"/>
      <c r="S174" s="28"/>
      <c r="T174" s="28" t="s">
        <v>88</v>
      </c>
      <c r="U174" s="28" t="s">
        <v>67</v>
      </c>
      <c r="V174" s="29" t="s">
        <v>80</v>
      </c>
      <c r="W174" s="67"/>
    </row>
    <row r="175" spans="1:23" ht="42">
      <c r="A175" s="17" t="str">
        <f ca="1">IFERROR(__xludf.DUMMYFUNCTION("""COMPUTED_VALUE"""),"GCSE")</f>
        <v>GCSE</v>
      </c>
      <c r="B175" s="17">
        <f ca="1">IFERROR(__xludf.DUMMYFUNCTION("""COMPUTED_VALUE"""),8)</f>
        <v>8</v>
      </c>
      <c r="C175" s="19" t="str">
        <f ca="1">IFERROR(__xludf.DUMMYFUNCTION("""COMPUTED_VALUE"""),"Data representations")</f>
        <v>Data representations</v>
      </c>
      <c r="D175" s="17">
        <f ca="1">IFERROR(__xludf.DUMMYFUNCTION("""COMPUTED_VALUE"""),11)</f>
        <v>11</v>
      </c>
      <c r="E175" s="19" t="str">
        <f ca="1">IFERROR(__xludf.DUMMYFUNCTION("""COMPUTED_VALUE"""),"Describe how the number of pixels and colour depth can affect the file size of a bitmap image, using examples
")</f>
        <v xml:space="preserve">Describe how the number of pixels and colour depth can affect the file size of a bitmap image, using examples
</v>
      </c>
      <c r="F175" s="30" t="b">
        <f ca="1">IFERROR(__xludf.DUMMYFUNCTION("""COMPUTED_VALUE"""),TRUE)</f>
        <v>1</v>
      </c>
      <c r="G175" s="26" t="b">
        <f ca="1">IFERROR(__xludf.DUMMYFUNCTION("""COMPUTED_VALUE"""),TRUE)</f>
        <v>1</v>
      </c>
      <c r="H175" s="27"/>
      <c r="I175" s="30"/>
      <c r="J175" s="26"/>
      <c r="K175" s="26"/>
      <c r="L175" s="26"/>
      <c r="M175" s="26" t="b">
        <f ca="1">IFERROR(__xludf.DUMMYFUNCTION("""COMPUTED_VALUE"""),TRUE)</f>
        <v>1</v>
      </c>
      <c r="N175" s="26"/>
      <c r="O175" s="26"/>
      <c r="P175" s="26"/>
      <c r="Q175" s="26"/>
      <c r="R175" s="27"/>
      <c r="S175" s="28" t="s">
        <v>93</v>
      </c>
      <c r="T175" s="28" t="s">
        <v>88</v>
      </c>
      <c r="U175" s="28" t="s">
        <v>89</v>
      </c>
      <c r="V175" s="29" t="s">
        <v>80</v>
      </c>
      <c r="W175" s="67"/>
    </row>
    <row r="176" spans="1:23" ht="28">
      <c r="A176" s="17" t="str">
        <f ca="1">IFERROR(__xludf.DUMMYFUNCTION("""COMPUTED_VALUE"""),"GCSE")</f>
        <v>GCSE</v>
      </c>
      <c r="B176" s="17">
        <f ca="1">IFERROR(__xludf.DUMMYFUNCTION("""COMPUTED_VALUE"""),8)</f>
        <v>8</v>
      </c>
      <c r="C176" s="19" t="str">
        <f ca="1">IFERROR(__xludf.DUMMYFUNCTION("""COMPUTED_VALUE"""),"Data representations")</f>
        <v>Data representations</v>
      </c>
      <c r="D176" s="17">
        <f ca="1">IFERROR(__xludf.DUMMYFUNCTION("""COMPUTED_VALUE"""),12)</f>
        <v>12</v>
      </c>
      <c r="E176" s="19" t="str">
        <f ca="1">IFERROR(__xludf.DUMMYFUNCTION("""COMPUTED_VALUE"""),"Describe the concepts of sampling, sample rate, and sample resolution")</f>
        <v>Describe the concepts of sampling, sample rate, and sample resolution</v>
      </c>
      <c r="F176" s="30" t="b">
        <f ca="1">IFERROR(__xludf.DUMMYFUNCTION("""COMPUTED_VALUE"""),TRUE)</f>
        <v>1</v>
      </c>
      <c r="G176" s="26" t="b">
        <f ca="1">IFERROR(__xludf.DUMMYFUNCTION("""COMPUTED_VALUE"""),TRUE)</f>
        <v>1</v>
      </c>
      <c r="H176" s="27"/>
      <c r="I176" s="30"/>
      <c r="J176" s="26"/>
      <c r="K176" s="26"/>
      <c r="L176" s="26"/>
      <c r="M176" s="26" t="b">
        <f ca="1">IFERROR(__xludf.DUMMYFUNCTION("""COMPUTED_VALUE"""),TRUE)</f>
        <v>1</v>
      </c>
      <c r="N176" s="26"/>
      <c r="O176" s="26"/>
      <c r="P176" s="26"/>
      <c r="Q176" s="26"/>
      <c r="R176" s="27"/>
      <c r="S176" s="28" t="s">
        <v>28</v>
      </c>
      <c r="T176" s="28" t="s">
        <v>88</v>
      </c>
      <c r="U176" s="28" t="s">
        <v>89</v>
      </c>
      <c r="V176" s="29" t="s">
        <v>80</v>
      </c>
      <c r="W176" s="67"/>
    </row>
    <row r="177" spans="1:23" ht="28">
      <c r="A177" s="17" t="str">
        <f ca="1">IFERROR(__xludf.DUMMYFUNCTION("""COMPUTED_VALUE"""),"GCSE")</f>
        <v>GCSE</v>
      </c>
      <c r="B177" s="17">
        <f ca="1">IFERROR(__xludf.DUMMYFUNCTION("""COMPUTED_VALUE"""),8)</f>
        <v>8</v>
      </c>
      <c r="C177" s="19" t="str">
        <f ca="1">IFERROR(__xludf.DUMMYFUNCTION("""COMPUTED_VALUE"""),"Data representations")</f>
        <v>Data representations</v>
      </c>
      <c r="D177" s="17">
        <f ca="1">IFERROR(__xludf.DUMMYFUNCTION("""COMPUTED_VALUE"""),12)</f>
        <v>12</v>
      </c>
      <c r="E177" s="19" t="str">
        <f ca="1">IFERROR(__xludf.DUMMYFUNCTION("""COMPUTED_VALUE"""),"Explain why analogue sound data needs to be converted into binary digits")</f>
        <v>Explain why analogue sound data needs to be converted into binary digits</v>
      </c>
      <c r="F177" s="30" t="b">
        <f ca="1">IFERROR(__xludf.DUMMYFUNCTION("""COMPUTED_VALUE"""),TRUE)</f>
        <v>1</v>
      </c>
      <c r="G177" s="26" t="b">
        <f ca="1">IFERROR(__xludf.DUMMYFUNCTION("""COMPUTED_VALUE"""),TRUE)</f>
        <v>1</v>
      </c>
      <c r="H177" s="27"/>
      <c r="I177" s="30"/>
      <c r="J177" s="26"/>
      <c r="K177" s="26"/>
      <c r="L177" s="26"/>
      <c r="M177" s="26" t="b">
        <f ca="1">IFERROR(__xludf.DUMMYFUNCTION("""COMPUTED_VALUE"""),TRUE)</f>
        <v>1</v>
      </c>
      <c r="N177" s="26"/>
      <c r="O177" s="26"/>
      <c r="P177" s="26"/>
      <c r="Q177" s="26"/>
      <c r="R177" s="27"/>
      <c r="S177" s="28" t="s">
        <v>28</v>
      </c>
      <c r="T177" s="28" t="s">
        <v>88</v>
      </c>
      <c r="U177" s="28" t="s">
        <v>89</v>
      </c>
      <c r="V177" s="29" t="s">
        <v>68</v>
      </c>
      <c r="W177" s="67"/>
    </row>
    <row r="178" spans="1:23" ht="21">
      <c r="A178" s="17" t="str">
        <f ca="1">IFERROR(__xludf.DUMMYFUNCTION("""COMPUTED_VALUE"""),"GCSE")</f>
        <v>GCSE</v>
      </c>
      <c r="B178" s="17">
        <f ca="1">IFERROR(__xludf.DUMMYFUNCTION("""COMPUTED_VALUE"""),8)</f>
        <v>8</v>
      </c>
      <c r="C178" s="19" t="str">
        <f ca="1">IFERROR(__xludf.DUMMYFUNCTION("""COMPUTED_VALUE"""),"Data representations")</f>
        <v>Data representations</v>
      </c>
      <c r="D178" s="17">
        <f ca="1">IFERROR(__xludf.DUMMYFUNCTION("""COMPUTED_VALUE"""),13)</f>
        <v>13</v>
      </c>
      <c r="E178" s="19" t="str">
        <f ca="1">IFERROR(__xludf.DUMMYFUNCTION("""COMPUTED_VALUE"""),"Calculate file size requirements of sound files")</f>
        <v>Calculate file size requirements of sound files</v>
      </c>
      <c r="F178" s="30" t="b">
        <f ca="1">IFERROR(__xludf.DUMMYFUNCTION("""COMPUTED_VALUE"""),TRUE)</f>
        <v>1</v>
      </c>
      <c r="G178" s="26" t="b">
        <f ca="1">IFERROR(__xludf.DUMMYFUNCTION("""COMPUTED_VALUE"""),TRUE)</f>
        <v>1</v>
      </c>
      <c r="H178" s="27"/>
      <c r="I178" s="30"/>
      <c r="J178" s="26"/>
      <c r="K178" s="26"/>
      <c r="L178" s="26"/>
      <c r="M178" s="26" t="b">
        <f ca="1">IFERROR(__xludf.DUMMYFUNCTION("""COMPUTED_VALUE"""),TRUE)</f>
        <v>1</v>
      </c>
      <c r="N178" s="26"/>
      <c r="O178" s="26"/>
      <c r="P178" s="26"/>
      <c r="Q178" s="26"/>
      <c r="R178" s="27"/>
      <c r="S178" s="28" t="s">
        <v>28</v>
      </c>
      <c r="T178" s="28" t="s">
        <v>88</v>
      </c>
      <c r="U178" s="28"/>
      <c r="V178" s="29" t="s">
        <v>68</v>
      </c>
      <c r="W178" s="67"/>
    </row>
    <row r="179" spans="1:23" ht="28">
      <c r="A179" s="17" t="str">
        <f ca="1">IFERROR(__xludf.DUMMYFUNCTION("""COMPUTED_VALUE"""),"GCSE")</f>
        <v>GCSE</v>
      </c>
      <c r="B179" s="17">
        <f ca="1">IFERROR(__xludf.DUMMYFUNCTION("""COMPUTED_VALUE"""),8)</f>
        <v>8</v>
      </c>
      <c r="C179" s="19" t="str">
        <f ca="1">IFERROR(__xludf.DUMMYFUNCTION("""COMPUTED_VALUE"""),"Data representations")</f>
        <v>Data representations</v>
      </c>
      <c r="D179" s="17">
        <f ca="1">IFERROR(__xludf.DUMMYFUNCTION("""COMPUTED_VALUE"""),13)</f>
        <v>13</v>
      </c>
      <c r="E179" s="19" t="str">
        <f ca="1">IFERROR(__xludf.DUMMYFUNCTION("""COMPUTED_VALUE"""),"Describe the effect of sample rate, duration, and sample resolution on the playback quality and the size of a sound file")</f>
        <v>Describe the effect of sample rate, duration, and sample resolution on the playback quality and the size of a sound file</v>
      </c>
      <c r="F179" s="30" t="b">
        <f ca="1">IFERROR(__xludf.DUMMYFUNCTION("""COMPUTED_VALUE"""),TRUE)</f>
        <v>1</v>
      </c>
      <c r="G179" s="26" t="b">
        <f ca="1">IFERROR(__xludf.DUMMYFUNCTION("""COMPUTED_VALUE"""),TRUE)</f>
        <v>1</v>
      </c>
      <c r="H179" s="27"/>
      <c r="I179" s="30"/>
      <c r="J179" s="26"/>
      <c r="K179" s="26"/>
      <c r="L179" s="26"/>
      <c r="M179" s="26" t="b">
        <f ca="1">IFERROR(__xludf.DUMMYFUNCTION("""COMPUTED_VALUE"""),TRUE)</f>
        <v>1</v>
      </c>
      <c r="N179" s="26"/>
      <c r="O179" s="26"/>
      <c r="P179" s="26"/>
      <c r="Q179" s="26"/>
      <c r="R179" s="27"/>
      <c r="S179" s="28" t="s">
        <v>28</v>
      </c>
      <c r="T179" s="28" t="s">
        <v>90</v>
      </c>
      <c r="U179" s="28" t="s">
        <v>89</v>
      </c>
      <c r="V179" s="29" t="s">
        <v>68</v>
      </c>
      <c r="W179" s="67"/>
    </row>
    <row r="180" spans="1:23" ht="21">
      <c r="A180" s="17" t="str">
        <f ca="1">IFERROR(__xludf.DUMMYFUNCTION("""COMPUTED_VALUE"""),"GCSE")</f>
        <v>GCSE</v>
      </c>
      <c r="B180" s="17">
        <f ca="1">IFERROR(__xludf.DUMMYFUNCTION("""COMPUTED_VALUE"""),8)</f>
        <v>8</v>
      </c>
      <c r="C180" s="19" t="str">
        <f ca="1">IFERROR(__xludf.DUMMYFUNCTION("""COMPUTED_VALUE"""),"Data representations")</f>
        <v>Data representations</v>
      </c>
      <c r="D180" s="17">
        <f ca="1">IFERROR(__xludf.DUMMYFUNCTION("""COMPUTED_VALUE"""),13)</f>
        <v>13</v>
      </c>
      <c r="E180" s="19" t="str">
        <f ca="1">IFERROR(__xludf.DUMMYFUNCTION("""COMPUTED_VALUE"""),"Give examples of metadata applied to sound files")</f>
        <v>Give examples of metadata applied to sound files</v>
      </c>
      <c r="F180" s="30" t="b">
        <f ca="1">IFERROR(__xludf.DUMMYFUNCTION("""COMPUTED_VALUE"""),TRUE)</f>
        <v>1</v>
      </c>
      <c r="G180" s="26" t="b">
        <f ca="1">IFERROR(__xludf.DUMMYFUNCTION("""COMPUTED_VALUE"""),TRUE)</f>
        <v>1</v>
      </c>
      <c r="H180" s="27"/>
      <c r="I180" s="30"/>
      <c r="J180" s="26"/>
      <c r="K180" s="26"/>
      <c r="L180" s="26"/>
      <c r="M180" s="26" t="b">
        <f ca="1">IFERROR(__xludf.DUMMYFUNCTION("""COMPUTED_VALUE"""),TRUE)</f>
        <v>1</v>
      </c>
      <c r="N180" s="26"/>
      <c r="O180" s="26"/>
      <c r="P180" s="26"/>
      <c r="Q180" s="26"/>
      <c r="R180" s="27"/>
      <c r="S180" s="28" t="s">
        <v>28</v>
      </c>
      <c r="T180" s="28" t="s">
        <v>90</v>
      </c>
      <c r="U180" s="28"/>
      <c r="V180" s="29" t="s">
        <v>68</v>
      </c>
      <c r="W180" s="67"/>
    </row>
    <row r="181" spans="1:23" ht="28">
      <c r="A181" s="17" t="str">
        <f ca="1">IFERROR(__xludf.DUMMYFUNCTION("""COMPUTED_VALUE"""),"GCSE")</f>
        <v>GCSE</v>
      </c>
      <c r="B181" s="17">
        <f ca="1">IFERROR(__xludf.DUMMYFUNCTION("""COMPUTED_VALUE"""),8)</f>
        <v>8</v>
      </c>
      <c r="C181" s="19" t="str">
        <f ca="1">IFERROR(__xludf.DUMMYFUNCTION("""COMPUTED_VALUE"""),"Data representations")</f>
        <v>Data representations</v>
      </c>
      <c r="D181" s="17">
        <f ca="1">IFERROR(__xludf.DUMMYFUNCTION("""COMPUTED_VALUE"""),14)</f>
        <v>14</v>
      </c>
      <c r="E181" s="19" t="str">
        <f ca="1">IFERROR(__xludf.DUMMYFUNCTION("""COMPUTED_VALUE"""),"Compare ‘kibibyte’, ‘mebibyte’, ‘gibibyte’, and ‘tebibyte’ to ‘megabyte’, ‘gigabyte’, and ‘terabyte’’")</f>
        <v>Compare ‘kibibyte’, ‘mebibyte’, ‘gibibyte’, and ‘tebibyte’ to ‘megabyte’, ‘gigabyte’, and ‘terabyte’’</v>
      </c>
      <c r="F181" s="30" t="b">
        <f ca="1">IFERROR(__xludf.DUMMYFUNCTION("""COMPUTED_VALUE"""),TRUE)</f>
        <v>1</v>
      </c>
      <c r="G181" s="26" t="b">
        <f ca="1">IFERROR(__xludf.DUMMYFUNCTION("""COMPUTED_VALUE"""),TRUE)</f>
        <v>1</v>
      </c>
      <c r="H181" s="27"/>
      <c r="I181" s="30"/>
      <c r="J181" s="26"/>
      <c r="K181" s="26"/>
      <c r="L181" s="26"/>
      <c r="M181" s="26" t="b">
        <f ca="1">IFERROR(__xludf.DUMMYFUNCTION("""COMPUTED_VALUE"""),TRUE)</f>
        <v>1</v>
      </c>
      <c r="N181" s="26"/>
      <c r="O181" s="26"/>
      <c r="P181" s="26"/>
      <c r="Q181" s="26"/>
      <c r="R181" s="27"/>
      <c r="S181" s="28" t="s">
        <v>66</v>
      </c>
      <c r="T181" s="28" t="s">
        <v>88</v>
      </c>
      <c r="U181" s="28"/>
      <c r="V181" s="29" t="s">
        <v>68</v>
      </c>
      <c r="W181" s="67"/>
    </row>
    <row r="182" spans="1:23" ht="28">
      <c r="A182" s="17" t="str">
        <f ca="1">IFERROR(__xludf.DUMMYFUNCTION("""COMPUTED_VALUE"""),"GCSE")</f>
        <v>GCSE</v>
      </c>
      <c r="B182" s="17">
        <f ca="1">IFERROR(__xludf.DUMMYFUNCTION("""COMPUTED_VALUE"""),8)</f>
        <v>8</v>
      </c>
      <c r="C182" s="19" t="str">
        <f ca="1">IFERROR(__xludf.DUMMYFUNCTION("""COMPUTED_VALUE"""),"Data representations")</f>
        <v>Data representations</v>
      </c>
      <c r="D182" s="17">
        <f ca="1">IFERROR(__xludf.DUMMYFUNCTION("""COMPUTED_VALUE"""),14)</f>
        <v>14</v>
      </c>
      <c r="E182" s="19" t="str">
        <f ca="1">IFERROR(__xludf.DUMMYFUNCTION("""COMPUTED_VALUE"""),"Convert between units of measurement
")</f>
        <v xml:space="preserve">Convert between units of measurement
</v>
      </c>
      <c r="F182" s="30" t="b">
        <f ca="1">IFERROR(__xludf.DUMMYFUNCTION("""COMPUTED_VALUE"""),TRUE)</f>
        <v>1</v>
      </c>
      <c r="G182" s="26" t="b">
        <f ca="1">IFERROR(__xludf.DUMMYFUNCTION("""COMPUTED_VALUE"""),TRUE)</f>
        <v>1</v>
      </c>
      <c r="H182" s="27"/>
      <c r="I182" s="30"/>
      <c r="J182" s="26"/>
      <c r="K182" s="26"/>
      <c r="L182" s="26"/>
      <c r="M182" s="26" t="b">
        <f ca="1">IFERROR(__xludf.DUMMYFUNCTION("""COMPUTED_VALUE"""),TRUE)</f>
        <v>1</v>
      </c>
      <c r="N182" s="26"/>
      <c r="O182" s="26"/>
      <c r="P182" s="26"/>
      <c r="Q182" s="26"/>
      <c r="R182" s="27"/>
      <c r="S182" s="28"/>
      <c r="T182" s="28"/>
      <c r="U182" s="28" t="s">
        <v>89</v>
      </c>
      <c r="V182" s="29" t="s">
        <v>68</v>
      </c>
      <c r="W182" s="67"/>
    </row>
    <row r="183" spans="1:23" ht="21">
      <c r="A183" s="17" t="str">
        <f ca="1">IFERROR(__xludf.DUMMYFUNCTION("""COMPUTED_VALUE"""),"GCSE")</f>
        <v>GCSE</v>
      </c>
      <c r="B183" s="17">
        <f ca="1">IFERROR(__xludf.DUMMYFUNCTION("""COMPUTED_VALUE"""),8)</f>
        <v>8</v>
      </c>
      <c r="C183" s="19" t="str">
        <f ca="1">IFERROR(__xludf.DUMMYFUNCTION("""COMPUTED_VALUE"""),"Data representations")</f>
        <v>Data representations</v>
      </c>
      <c r="D183" s="17">
        <f ca="1">IFERROR(__xludf.DUMMYFUNCTION("""COMPUTED_VALUE"""),14)</f>
        <v>14</v>
      </c>
      <c r="E183" s="19" t="str">
        <f ca="1">IFERROR(__xludf.DUMMYFUNCTION("""COMPUTED_VALUE"""),"Define the terms ‘bit’, ‘nibble’, ‘kilobyte’, ‘megabyte’, ‘gigabyte’, ‘terabyte’, and ‘petabyte’")</f>
        <v>Define the terms ‘bit’, ‘nibble’, ‘kilobyte’, ‘megabyte’, ‘gigabyte’, ‘terabyte’, and ‘petabyte’</v>
      </c>
      <c r="F183" s="30" t="b">
        <f ca="1">IFERROR(__xludf.DUMMYFUNCTION("""COMPUTED_VALUE"""),TRUE)</f>
        <v>1</v>
      </c>
      <c r="G183" s="26" t="b">
        <f ca="1">IFERROR(__xludf.DUMMYFUNCTION("""COMPUTED_VALUE"""),TRUE)</f>
        <v>1</v>
      </c>
      <c r="H183" s="27"/>
      <c r="I183" s="30"/>
      <c r="J183" s="26"/>
      <c r="K183" s="26"/>
      <c r="L183" s="26"/>
      <c r="M183" s="26" t="b">
        <f ca="1">IFERROR(__xludf.DUMMYFUNCTION("""COMPUTED_VALUE"""),TRUE)</f>
        <v>1</v>
      </c>
      <c r="N183" s="26"/>
      <c r="O183" s="26"/>
      <c r="P183" s="26"/>
      <c r="Q183" s="26"/>
      <c r="R183" s="27"/>
      <c r="S183" s="28"/>
      <c r="T183" s="28"/>
      <c r="U183" s="28"/>
      <c r="V183" s="29" t="s">
        <v>68</v>
      </c>
      <c r="W183" s="67"/>
    </row>
    <row r="184" spans="1:23" ht="28">
      <c r="A184" s="17" t="str">
        <f ca="1">IFERROR(__xludf.DUMMYFUNCTION("""COMPUTED_VALUE"""),"GCSE")</f>
        <v>GCSE</v>
      </c>
      <c r="B184" s="17">
        <f ca="1">IFERROR(__xludf.DUMMYFUNCTION("""COMPUTED_VALUE"""),8)</f>
        <v>8</v>
      </c>
      <c r="C184" s="19" t="str">
        <f ca="1">IFERROR(__xludf.DUMMYFUNCTION("""COMPUTED_VALUE"""),"Data representations")</f>
        <v>Data representations</v>
      </c>
      <c r="D184" s="17">
        <f ca="1">IFERROR(__xludf.DUMMYFUNCTION("""COMPUTED_VALUE"""),15)</f>
        <v>15</v>
      </c>
      <c r="E184" s="19" t="str">
        <f ca="1">IFERROR(__xludf.DUMMYFUNCTION("""COMPUTED_VALUE"""),"Define ‘lossy compression’ and ‘lossless compression’")</f>
        <v>Define ‘lossy compression’ and ‘lossless compression’</v>
      </c>
      <c r="F184" s="30" t="b">
        <f ca="1">IFERROR(__xludf.DUMMYFUNCTION("""COMPUTED_VALUE"""),TRUE)</f>
        <v>1</v>
      </c>
      <c r="G184" s="26" t="b">
        <f ca="1">IFERROR(__xludf.DUMMYFUNCTION("""COMPUTED_VALUE"""),TRUE)</f>
        <v>1</v>
      </c>
      <c r="H184" s="27"/>
      <c r="I184" s="30"/>
      <c r="J184" s="26"/>
      <c r="K184" s="26"/>
      <c r="L184" s="26"/>
      <c r="M184" s="26" t="b">
        <f ca="1">IFERROR(__xludf.DUMMYFUNCTION("""COMPUTED_VALUE"""),TRUE)</f>
        <v>1</v>
      </c>
      <c r="N184" s="26"/>
      <c r="O184" s="26"/>
      <c r="P184" s="26"/>
      <c r="Q184" s="26"/>
      <c r="R184" s="27"/>
      <c r="S184" s="28"/>
      <c r="T184" s="28"/>
      <c r="U184" s="28" t="s">
        <v>89</v>
      </c>
      <c r="V184" s="29" t="s">
        <v>68</v>
      </c>
      <c r="W184" s="67"/>
    </row>
    <row r="185" spans="1:23" ht="21">
      <c r="A185" s="17" t="str">
        <f ca="1">IFERROR(__xludf.DUMMYFUNCTION("""COMPUTED_VALUE"""),"GCSE")</f>
        <v>GCSE</v>
      </c>
      <c r="B185" s="17">
        <f ca="1">IFERROR(__xludf.DUMMYFUNCTION("""COMPUTED_VALUE"""),8)</f>
        <v>8</v>
      </c>
      <c r="C185" s="19" t="str">
        <f ca="1">IFERROR(__xludf.DUMMYFUNCTION("""COMPUTED_VALUE"""),"Data representations")</f>
        <v>Data representations</v>
      </c>
      <c r="D185" s="17">
        <f ca="1">IFERROR(__xludf.DUMMYFUNCTION("""COMPUTED_VALUE"""),15)</f>
        <v>15</v>
      </c>
      <c r="E185" s="19" t="str">
        <f ca="1">IFERROR(__xludf.DUMMYFUNCTION("""COMPUTED_VALUE"""),"Explain what data compression is")</f>
        <v>Explain what data compression is</v>
      </c>
      <c r="F185" s="30" t="b">
        <f ca="1">IFERROR(__xludf.DUMMYFUNCTION("""COMPUTED_VALUE"""),TRUE)</f>
        <v>1</v>
      </c>
      <c r="G185" s="26" t="b">
        <f ca="1">IFERROR(__xludf.DUMMYFUNCTION("""COMPUTED_VALUE"""),TRUE)</f>
        <v>1</v>
      </c>
      <c r="H185" s="27"/>
      <c r="I185" s="30"/>
      <c r="J185" s="26"/>
      <c r="K185" s="26"/>
      <c r="L185" s="26"/>
      <c r="M185" s="26" t="b">
        <f ca="1">IFERROR(__xludf.DUMMYFUNCTION("""COMPUTED_VALUE"""),TRUE)</f>
        <v>1</v>
      </c>
      <c r="N185" s="26"/>
      <c r="O185" s="26"/>
      <c r="P185" s="26"/>
      <c r="Q185" s="26"/>
      <c r="R185" s="27"/>
      <c r="S185" s="28" t="s">
        <v>28</v>
      </c>
      <c r="T185" s="28" t="s">
        <v>88</v>
      </c>
      <c r="U185" s="28"/>
      <c r="V185" s="29" t="s">
        <v>68</v>
      </c>
      <c r="W185" s="67"/>
    </row>
    <row r="186" spans="1:23" ht="28">
      <c r="A186" s="17" t="str">
        <f ca="1">IFERROR(__xludf.DUMMYFUNCTION("""COMPUTED_VALUE"""),"GCSE")</f>
        <v>GCSE</v>
      </c>
      <c r="B186" s="17">
        <f ca="1">IFERROR(__xludf.DUMMYFUNCTION("""COMPUTED_VALUE"""),8)</f>
        <v>8</v>
      </c>
      <c r="C186" s="19" t="str">
        <f ca="1">IFERROR(__xludf.DUMMYFUNCTION("""COMPUTED_VALUE"""),"Data representations")</f>
        <v>Data representations</v>
      </c>
      <c r="D186" s="17">
        <f ca="1">IFERROR(__xludf.DUMMYFUNCTION("""COMPUTED_VALUE"""),15)</f>
        <v>15</v>
      </c>
      <c r="E186" s="19" t="str">
        <f ca="1">IFERROR(__xludf.DUMMYFUNCTION("""COMPUTED_VALUE"""),"Explain why data may be compressed, and that there are different ways to compress data")</f>
        <v>Explain why data may be compressed, and that there are different ways to compress data</v>
      </c>
      <c r="F186" s="30" t="b">
        <f ca="1">IFERROR(__xludf.DUMMYFUNCTION("""COMPUTED_VALUE"""),TRUE)</f>
        <v>1</v>
      </c>
      <c r="G186" s="26" t="b">
        <f ca="1">IFERROR(__xludf.DUMMYFUNCTION("""COMPUTED_VALUE"""),TRUE)</f>
        <v>1</v>
      </c>
      <c r="H186" s="27"/>
      <c r="I186" s="30"/>
      <c r="J186" s="26"/>
      <c r="K186" s="26"/>
      <c r="L186" s="26"/>
      <c r="M186" s="26" t="b">
        <f ca="1">IFERROR(__xludf.DUMMYFUNCTION("""COMPUTED_VALUE"""),TRUE)</f>
        <v>1</v>
      </c>
      <c r="N186" s="26"/>
      <c r="O186" s="26"/>
      <c r="P186" s="26"/>
      <c r="Q186" s="26"/>
      <c r="R186" s="27"/>
      <c r="S186" s="28" t="s">
        <v>28</v>
      </c>
      <c r="T186" s="28" t="s">
        <v>88</v>
      </c>
      <c r="U186" s="28" t="s">
        <v>89</v>
      </c>
      <c r="V186" s="29" t="s">
        <v>68</v>
      </c>
      <c r="W186" s="67"/>
    </row>
    <row r="187" spans="1:23" ht="28">
      <c r="A187" s="17" t="str">
        <f ca="1">IFERROR(__xludf.DUMMYFUNCTION("""COMPUTED_VALUE"""),"GCSE")</f>
        <v>GCSE</v>
      </c>
      <c r="B187" s="17">
        <f ca="1">IFERROR(__xludf.DUMMYFUNCTION("""COMPUTED_VALUE"""),8)</f>
        <v>8</v>
      </c>
      <c r="C187" s="19" t="str">
        <f ca="1">IFERROR(__xludf.DUMMYFUNCTION("""COMPUTED_VALUE"""),"Data representations")</f>
        <v>Data representations</v>
      </c>
      <c r="D187" s="17">
        <f ca="1">IFERROR(__xludf.DUMMYFUNCTION("""COMPUTED_VALUE"""),16)</f>
        <v>16</v>
      </c>
      <c r="E187" s="19" t="str">
        <f ca="1">IFERROR(__xludf.DUMMYFUNCTION("""COMPUTED_VALUE"""),"Calculate compression ratios")</f>
        <v>Calculate compression ratios</v>
      </c>
      <c r="F187" s="30" t="b">
        <f ca="1">IFERROR(__xludf.DUMMYFUNCTION("""COMPUTED_VALUE"""),TRUE)</f>
        <v>1</v>
      </c>
      <c r="G187" s="26" t="b">
        <f ca="1">IFERROR(__xludf.DUMMYFUNCTION("""COMPUTED_VALUE"""),TRUE)</f>
        <v>1</v>
      </c>
      <c r="H187" s="27"/>
      <c r="I187" s="30"/>
      <c r="J187" s="26"/>
      <c r="K187" s="26"/>
      <c r="L187" s="26"/>
      <c r="M187" s="26" t="b">
        <f ca="1">IFERROR(__xludf.DUMMYFUNCTION("""COMPUTED_VALUE"""),TRUE)</f>
        <v>1</v>
      </c>
      <c r="N187" s="26"/>
      <c r="O187" s="26"/>
      <c r="P187" s="26"/>
      <c r="Q187" s="26"/>
      <c r="R187" s="27"/>
      <c r="S187" s="28" t="s">
        <v>28</v>
      </c>
      <c r="T187" s="28" t="s">
        <v>88</v>
      </c>
      <c r="U187" s="28" t="s">
        <v>89</v>
      </c>
      <c r="V187" s="29" t="s">
        <v>68</v>
      </c>
      <c r="W187" s="67"/>
    </row>
    <row r="188" spans="1:23" ht="28">
      <c r="A188" s="17" t="str">
        <f ca="1">IFERROR(__xludf.DUMMYFUNCTION("""COMPUTED_VALUE"""),"GCSE")</f>
        <v>GCSE</v>
      </c>
      <c r="B188" s="17">
        <f ca="1">IFERROR(__xludf.DUMMYFUNCTION("""COMPUTED_VALUE"""),8)</f>
        <v>8</v>
      </c>
      <c r="C188" s="19" t="str">
        <f ca="1">IFERROR(__xludf.DUMMYFUNCTION("""COMPUTED_VALUE"""),"Data representations")</f>
        <v>Data representations</v>
      </c>
      <c r="D188" s="17">
        <f ca="1">IFERROR(__xludf.DUMMYFUNCTION("""COMPUTED_VALUE"""),16)</f>
        <v>16</v>
      </c>
      <c r="E188" s="19" t="str">
        <f ca="1">IFERROR(__xludf.DUMMYFUNCTION("""COMPUTED_VALUE"""),"Explain how data can be compressed using run length encoding (RLE)")</f>
        <v>Explain how data can be compressed using run length encoding (RLE)</v>
      </c>
      <c r="F188" s="30" t="b">
        <f ca="1">IFERROR(__xludf.DUMMYFUNCTION("""COMPUTED_VALUE"""),TRUE)</f>
        <v>1</v>
      </c>
      <c r="G188" s="26" t="b">
        <f ca="1">IFERROR(__xludf.DUMMYFUNCTION("""COMPUTED_VALUE"""),TRUE)</f>
        <v>1</v>
      </c>
      <c r="H188" s="27"/>
      <c r="I188" s="30"/>
      <c r="J188" s="26"/>
      <c r="K188" s="26"/>
      <c r="L188" s="26"/>
      <c r="M188" s="26" t="b">
        <f ca="1">IFERROR(__xludf.DUMMYFUNCTION("""COMPUTED_VALUE"""),TRUE)</f>
        <v>1</v>
      </c>
      <c r="N188" s="26"/>
      <c r="O188" s="26"/>
      <c r="P188" s="26"/>
      <c r="Q188" s="26"/>
      <c r="R188" s="27"/>
      <c r="S188" s="28" t="s">
        <v>28</v>
      </c>
      <c r="T188" s="28" t="s">
        <v>88</v>
      </c>
      <c r="U188" s="28" t="s">
        <v>89</v>
      </c>
      <c r="V188" s="29" t="s">
        <v>68</v>
      </c>
      <c r="W188" s="67"/>
    </row>
    <row r="189" spans="1:23" ht="28">
      <c r="A189" s="17" t="str">
        <f ca="1">IFERROR(__xludf.DUMMYFUNCTION("""COMPUTED_VALUE"""),"GCSE")</f>
        <v>GCSE</v>
      </c>
      <c r="B189" s="17">
        <f ca="1">IFERROR(__xludf.DUMMYFUNCTION("""COMPUTED_VALUE"""),8)</f>
        <v>8</v>
      </c>
      <c r="C189" s="19" t="str">
        <f ca="1">IFERROR(__xludf.DUMMYFUNCTION("""COMPUTED_VALUE"""),"Data representations")</f>
        <v>Data representations</v>
      </c>
      <c r="D189" s="17">
        <f ca="1">IFERROR(__xludf.DUMMYFUNCTION("""COMPUTED_VALUE"""),16)</f>
        <v>16</v>
      </c>
      <c r="E189" s="19" t="str">
        <f ca="1">IFERROR(__xludf.DUMMYFUNCTION("""COMPUTED_VALUE"""),"Represent data in RLE frequency/data pairs")</f>
        <v>Represent data in RLE frequency/data pairs</v>
      </c>
      <c r="F189" s="30" t="b">
        <f ca="1">IFERROR(__xludf.DUMMYFUNCTION("""COMPUTED_VALUE"""),TRUE)</f>
        <v>1</v>
      </c>
      <c r="G189" s="26" t="b">
        <f ca="1">IFERROR(__xludf.DUMMYFUNCTION("""COMPUTED_VALUE"""),TRUE)</f>
        <v>1</v>
      </c>
      <c r="H189" s="27"/>
      <c r="I189" s="30"/>
      <c r="J189" s="26"/>
      <c r="K189" s="26"/>
      <c r="L189" s="26"/>
      <c r="M189" s="26" t="b">
        <f ca="1">IFERROR(__xludf.DUMMYFUNCTION("""COMPUTED_VALUE"""),TRUE)</f>
        <v>1</v>
      </c>
      <c r="N189" s="26"/>
      <c r="O189" s="26"/>
      <c r="P189" s="26"/>
      <c r="Q189" s="26"/>
      <c r="R189" s="27"/>
      <c r="S189" s="28" t="s">
        <v>28</v>
      </c>
      <c r="T189" s="28" t="s">
        <v>88</v>
      </c>
      <c r="U189" s="28" t="s">
        <v>89</v>
      </c>
      <c r="V189" s="29" t="s">
        <v>68</v>
      </c>
      <c r="W189" s="67"/>
    </row>
    <row r="190" spans="1:23" ht="28">
      <c r="A190" s="17" t="str">
        <f ca="1">IFERROR(__xludf.DUMMYFUNCTION("""COMPUTED_VALUE"""),"GCSE")</f>
        <v>GCSE</v>
      </c>
      <c r="B190" s="17">
        <f ca="1">IFERROR(__xludf.DUMMYFUNCTION("""COMPUTED_VALUE"""),8)</f>
        <v>8</v>
      </c>
      <c r="C190" s="19" t="str">
        <f ca="1">IFERROR(__xludf.DUMMYFUNCTION("""COMPUTED_VALUE"""),"Data representations")</f>
        <v>Data representations</v>
      </c>
      <c r="D190" s="17">
        <f ca="1">IFERROR(__xludf.DUMMYFUNCTION("""COMPUTED_VALUE"""),17)</f>
        <v>17</v>
      </c>
      <c r="E190" s="19" t="str">
        <f ca="1">IFERROR(__xludf.DUMMYFUNCTION("""COMPUTED_VALUE"""),"Calculate the number of bits required to store a piece of data compressed using Huffman coding")</f>
        <v>Calculate the number of bits required to store a piece of data compressed using Huffman coding</v>
      </c>
      <c r="F190" s="30" t="b">
        <f ca="1">IFERROR(__xludf.DUMMYFUNCTION("""COMPUTED_VALUE"""),TRUE)</f>
        <v>1</v>
      </c>
      <c r="G190" s="26" t="b">
        <f ca="1">IFERROR(__xludf.DUMMYFUNCTION("""COMPUTED_VALUE"""),TRUE)</f>
        <v>1</v>
      </c>
      <c r="H190" s="27"/>
      <c r="I190" s="30"/>
      <c r="J190" s="26"/>
      <c r="K190" s="26"/>
      <c r="L190" s="26"/>
      <c r="M190" s="26" t="b">
        <f ca="1">IFERROR(__xludf.DUMMYFUNCTION("""COMPUTED_VALUE"""),TRUE)</f>
        <v>1</v>
      </c>
      <c r="N190" s="26"/>
      <c r="O190" s="26"/>
      <c r="P190" s="26"/>
      <c r="Q190" s="26"/>
      <c r="R190" s="27"/>
      <c r="S190" s="28" t="s">
        <v>28</v>
      </c>
      <c r="T190" s="28" t="s">
        <v>88</v>
      </c>
      <c r="U190" s="28" t="s">
        <v>89</v>
      </c>
      <c r="V190" s="29" t="s">
        <v>68</v>
      </c>
      <c r="W190" s="67" t="s">
        <v>51</v>
      </c>
    </row>
    <row r="191" spans="1:23" ht="28">
      <c r="A191" s="17" t="str">
        <f ca="1">IFERROR(__xludf.DUMMYFUNCTION("""COMPUTED_VALUE"""),"GCSE")</f>
        <v>GCSE</v>
      </c>
      <c r="B191" s="17">
        <f ca="1">IFERROR(__xludf.DUMMYFUNCTION("""COMPUTED_VALUE"""),8)</f>
        <v>8</v>
      </c>
      <c r="C191" s="19" t="str">
        <f ca="1">IFERROR(__xludf.DUMMYFUNCTION("""COMPUTED_VALUE"""),"Data representations")</f>
        <v>Data representations</v>
      </c>
      <c r="D191" s="17">
        <f ca="1">IFERROR(__xludf.DUMMYFUNCTION("""COMPUTED_VALUE"""),17)</f>
        <v>17</v>
      </c>
      <c r="E191" s="19" t="str">
        <f ca="1">IFERROR(__xludf.DUMMYFUNCTION("""COMPUTED_VALUE"""),"Explain how data can be compressed using Huffman coding")</f>
        <v>Explain how data can be compressed using Huffman coding</v>
      </c>
      <c r="F191" s="30" t="b">
        <f ca="1">IFERROR(__xludf.DUMMYFUNCTION("""COMPUTED_VALUE"""),TRUE)</f>
        <v>1</v>
      </c>
      <c r="G191" s="26" t="b">
        <f ca="1">IFERROR(__xludf.DUMMYFUNCTION("""COMPUTED_VALUE"""),TRUE)</f>
        <v>1</v>
      </c>
      <c r="H191" s="27"/>
      <c r="I191" s="30"/>
      <c r="J191" s="26"/>
      <c r="K191" s="26"/>
      <c r="L191" s="26"/>
      <c r="M191" s="26" t="b">
        <f ca="1">IFERROR(__xludf.DUMMYFUNCTION("""COMPUTED_VALUE"""),TRUE)</f>
        <v>1</v>
      </c>
      <c r="N191" s="26"/>
      <c r="O191" s="26"/>
      <c r="P191" s="26"/>
      <c r="Q191" s="26"/>
      <c r="R191" s="27"/>
      <c r="S191" s="28" t="s">
        <v>28</v>
      </c>
      <c r="T191" s="28" t="s">
        <v>88</v>
      </c>
      <c r="U191" s="28" t="s">
        <v>89</v>
      </c>
      <c r="V191" s="29" t="s">
        <v>68</v>
      </c>
      <c r="W191" s="67" t="s">
        <v>51</v>
      </c>
    </row>
    <row r="192" spans="1:23" ht="28">
      <c r="A192" s="17" t="str">
        <f ca="1">IFERROR(__xludf.DUMMYFUNCTION("""COMPUTED_VALUE"""),"GCSE")</f>
        <v>GCSE</v>
      </c>
      <c r="B192" s="17">
        <f ca="1">IFERROR(__xludf.DUMMYFUNCTION("""COMPUTED_VALUE"""),8)</f>
        <v>8</v>
      </c>
      <c r="C192" s="19" t="str">
        <f ca="1">IFERROR(__xludf.DUMMYFUNCTION("""COMPUTED_VALUE"""),"Data representations")</f>
        <v>Data representations</v>
      </c>
      <c r="D192" s="17">
        <f ca="1">IFERROR(__xludf.DUMMYFUNCTION("""COMPUTED_VALUE"""),17)</f>
        <v>17</v>
      </c>
      <c r="E192" s="19" t="str">
        <f ca="1">IFERROR(__xludf.DUMMYFUNCTION("""COMPUTED_VALUE"""),"Interpret a Huffman tree")</f>
        <v>Interpret a Huffman tree</v>
      </c>
      <c r="F192" s="30" t="b">
        <f ca="1">IFERROR(__xludf.DUMMYFUNCTION("""COMPUTED_VALUE"""),TRUE)</f>
        <v>1</v>
      </c>
      <c r="G192" s="26" t="b">
        <f ca="1">IFERROR(__xludf.DUMMYFUNCTION("""COMPUTED_VALUE"""),TRUE)</f>
        <v>1</v>
      </c>
      <c r="H192" s="27"/>
      <c r="I192" s="30"/>
      <c r="J192" s="26"/>
      <c r="K192" s="26"/>
      <c r="L192" s="26"/>
      <c r="M192" s="26" t="b">
        <f ca="1">IFERROR(__xludf.DUMMYFUNCTION("""COMPUTED_VALUE"""),TRUE)</f>
        <v>1</v>
      </c>
      <c r="N192" s="26"/>
      <c r="O192" s="26"/>
      <c r="P192" s="26"/>
      <c r="Q192" s="26"/>
      <c r="R192" s="27"/>
      <c r="S192" s="28" t="s">
        <v>28</v>
      </c>
      <c r="T192" s="28"/>
      <c r="U192" s="28" t="s">
        <v>89</v>
      </c>
      <c r="V192" s="29" t="s">
        <v>68</v>
      </c>
      <c r="W192" s="67" t="s">
        <v>51</v>
      </c>
    </row>
    <row r="193" spans="1:23" ht="28">
      <c r="A193" s="17" t="str">
        <f ca="1">IFERROR(__xludf.DUMMYFUNCTION("""COMPUTED_VALUE"""),"GCSE")</f>
        <v>GCSE</v>
      </c>
      <c r="B193" s="17">
        <f ca="1">IFERROR(__xludf.DUMMYFUNCTION("""COMPUTED_VALUE"""),8)</f>
        <v>8</v>
      </c>
      <c r="C193" s="19" t="str">
        <f ca="1">IFERROR(__xludf.DUMMYFUNCTION("""COMPUTED_VALUE"""),"Data representations")</f>
        <v>Data representations</v>
      </c>
      <c r="D193" s="17">
        <f ca="1">IFERROR(__xludf.DUMMYFUNCTION("""COMPUTED_VALUE"""),18)</f>
        <v>18</v>
      </c>
      <c r="E193" s="19" t="str">
        <f ca="1">IFERROR(__xludf.DUMMYFUNCTION("""COMPUTED_VALUE"""),"Summarise learning through a final assessment")</f>
        <v>Summarise learning through a final assessment</v>
      </c>
      <c r="F193" s="30" t="b">
        <f ca="1">IFERROR(__xludf.DUMMYFUNCTION("""COMPUTED_VALUE"""),TRUE)</f>
        <v>1</v>
      </c>
      <c r="G193" s="26" t="b">
        <f ca="1">IFERROR(__xludf.DUMMYFUNCTION("""COMPUTED_VALUE"""),TRUE)</f>
        <v>1</v>
      </c>
      <c r="H193" s="27"/>
      <c r="I193" s="30"/>
      <c r="J193" s="26"/>
      <c r="K193" s="26"/>
      <c r="L193" s="26"/>
      <c r="M193" s="26" t="b">
        <f ca="1">IFERROR(__xludf.DUMMYFUNCTION("""COMPUTED_VALUE"""),TRUE)</f>
        <v>1</v>
      </c>
      <c r="N193" s="26"/>
      <c r="O193" s="26"/>
      <c r="P193" s="26"/>
      <c r="Q193" s="26"/>
      <c r="R193" s="27"/>
      <c r="S193" s="28" t="s">
        <v>28</v>
      </c>
      <c r="T193" s="28" t="s">
        <v>88</v>
      </c>
      <c r="U193" s="28" t="s">
        <v>89</v>
      </c>
      <c r="V193" s="29" t="s">
        <v>68</v>
      </c>
      <c r="W193" s="67" t="s">
        <v>51</v>
      </c>
    </row>
    <row r="194" spans="1:23" ht="28">
      <c r="A194" s="17" t="str">
        <f ca="1">IFERROR(__xludf.DUMMYFUNCTION("""COMPUTED_VALUE"""),"GCSE")</f>
        <v>GCSE</v>
      </c>
      <c r="B194" s="17">
        <f ca="1">IFERROR(__xludf.DUMMYFUNCTION("""COMPUTED_VALUE"""),9)</f>
        <v>9</v>
      </c>
      <c r="C194" s="19" t="str">
        <f ca="1">IFERROR(__xludf.DUMMYFUNCTION("""COMPUTED_VALUE"""),"Algorithms part 2 - Searching and sorting")</f>
        <v>Algorithms part 2 - Searching and sorting</v>
      </c>
      <c r="D194" s="17">
        <f ca="1">IFERROR(__xludf.DUMMYFUNCTION("""COMPUTED_VALUE"""),4)</f>
        <v>4</v>
      </c>
      <c r="E194" s="19" t="str">
        <f ca="1">IFERROR(__xludf.DUMMYFUNCTION("""COMPUTED_VALUE"""),"Describe how linear search is used for finding the position of an item in a list of items")</f>
        <v>Describe how linear search is used for finding the position of an item in a list of items</v>
      </c>
      <c r="F194" s="30" t="b">
        <f ca="1">IFERROR(__xludf.DUMMYFUNCTION("""COMPUTED_VALUE"""),TRUE)</f>
        <v>1</v>
      </c>
      <c r="G194" s="26" t="b">
        <f ca="1">IFERROR(__xludf.DUMMYFUNCTION("""COMPUTED_VALUE"""),TRUE)</f>
        <v>1</v>
      </c>
      <c r="H194" s="27"/>
      <c r="I194" s="30" t="b">
        <f ca="1">IFERROR(__xludf.DUMMYFUNCTION("""COMPUTED_VALUE"""),TRUE)</f>
        <v>1</v>
      </c>
      <c r="J194" s="26"/>
      <c r="K194" s="26"/>
      <c r="L194" s="26"/>
      <c r="M194" s="26"/>
      <c r="N194" s="26"/>
      <c r="O194" s="26"/>
      <c r="P194" s="26"/>
      <c r="Q194" s="26"/>
      <c r="R194" s="27"/>
      <c r="S194" s="28" t="s">
        <v>28</v>
      </c>
      <c r="T194" s="28" t="s">
        <v>88</v>
      </c>
      <c r="U194" s="28" t="s">
        <v>89</v>
      </c>
      <c r="V194" s="29" t="s">
        <v>68</v>
      </c>
      <c r="W194" s="67" t="s">
        <v>51</v>
      </c>
    </row>
    <row r="195" spans="1:23" ht="28">
      <c r="A195" s="17" t="str">
        <f ca="1">IFERROR(__xludf.DUMMYFUNCTION("""COMPUTED_VALUE"""),"GCSE")</f>
        <v>GCSE</v>
      </c>
      <c r="B195" s="17">
        <f ca="1">IFERROR(__xludf.DUMMYFUNCTION("""COMPUTED_VALUE"""),9)</f>
        <v>9</v>
      </c>
      <c r="C195" s="19" t="str">
        <f ca="1">IFERROR(__xludf.DUMMYFUNCTION("""COMPUTED_VALUE"""),"Algorithms part 2 - Searching and sorting")</f>
        <v>Algorithms part 2 - Searching and sorting</v>
      </c>
      <c r="D195" s="17">
        <f ca="1">IFERROR(__xludf.DUMMYFUNCTION("""COMPUTED_VALUE"""),4)</f>
        <v>4</v>
      </c>
      <c r="E195" s="19" t="str">
        <f ca="1">IFERROR(__xludf.DUMMYFUNCTION("""COMPUTED_VALUE"""),"Identify why computers often need to search data")</f>
        <v>Identify why computers often need to search data</v>
      </c>
      <c r="F195" s="30" t="b">
        <f ca="1">IFERROR(__xludf.DUMMYFUNCTION("""COMPUTED_VALUE"""),TRUE)</f>
        <v>1</v>
      </c>
      <c r="G195" s="26" t="b">
        <f ca="1">IFERROR(__xludf.DUMMYFUNCTION("""COMPUTED_VALUE"""),TRUE)</f>
        <v>1</v>
      </c>
      <c r="H195" s="27"/>
      <c r="I195" s="30" t="b">
        <f ca="1">IFERROR(__xludf.DUMMYFUNCTION("""COMPUTED_VALUE"""),TRUE)</f>
        <v>1</v>
      </c>
      <c r="J195" s="26"/>
      <c r="K195" s="26"/>
      <c r="L195" s="26"/>
      <c r="M195" s="26"/>
      <c r="N195" s="26"/>
      <c r="O195" s="26"/>
      <c r="P195" s="26"/>
      <c r="Q195" s="26"/>
      <c r="R195" s="27"/>
      <c r="S195" s="28" t="s">
        <v>28</v>
      </c>
      <c r="T195" s="28" t="s">
        <v>88</v>
      </c>
      <c r="U195" s="28" t="s">
        <v>89</v>
      </c>
      <c r="V195" s="29" t="s">
        <v>68</v>
      </c>
      <c r="W195" s="67" t="s">
        <v>51</v>
      </c>
    </row>
    <row r="196" spans="1:23" ht="28">
      <c r="A196" s="17" t="str">
        <f ca="1">IFERROR(__xludf.DUMMYFUNCTION("""COMPUTED_VALUE"""),"GCSE")</f>
        <v>GCSE</v>
      </c>
      <c r="B196" s="17">
        <f ca="1">IFERROR(__xludf.DUMMYFUNCTION("""COMPUTED_VALUE"""),9)</f>
        <v>9</v>
      </c>
      <c r="C196" s="19" t="str">
        <f ca="1">IFERROR(__xludf.DUMMYFUNCTION("""COMPUTED_VALUE"""),"Algorithms part 2 - Searching and sorting")</f>
        <v>Algorithms part 2 - Searching and sorting</v>
      </c>
      <c r="D196" s="17">
        <f ca="1">IFERROR(__xludf.DUMMYFUNCTION("""COMPUTED_VALUE"""),4)</f>
        <v>4</v>
      </c>
      <c r="E196" s="19" t="str">
        <f ca="1">IFERROR(__xludf.DUMMYFUNCTION("""COMPUTED_VALUE"""),"Perform a linear search to find the position of an item in a list")</f>
        <v>Perform a linear search to find the position of an item in a list</v>
      </c>
      <c r="F196" s="30" t="b">
        <f ca="1">IFERROR(__xludf.DUMMYFUNCTION("""COMPUTED_VALUE"""),TRUE)</f>
        <v>1</v>
      </c>
      <c r="G196" s="26" t="b">
        <f ca="1">IFERROR(__xludf.DUMMYFUNCTION("""COMPUTED_VALUE"""),TRUE)</f>
        <v>1</v>
      </c>
      <c r="H196" s="27"/>
      <c r="I196" s="30" t="b">
        <f ca="1">IFERROR(__xludf.DUMMYFUNCTION("""COMPUTED_VALUE"""),TRUE)</f>
        <v>1</v>
      </c>
      <c r="J196" s="26"/>
      <c r="K196" s="26"/>
      <c r="L196" s="26"/>
      <c r="M196" s="26"/>
      <c r="N196" s="26"/>
      <c r="O196" s="26"/>
      <c r="P196" s="26"/>
      <c r="Q196" s="26" t="b">
        <f ca="1">IFERROR(__xludf.DUMMYFUNCTION("""COMPUTED_VALUE"""),TRUE)</f>
        <v>1</v>
      </c>
      <c r="R196" s="27"/>
      <c r="S196" s="28" t="s">
        <v>28</v>
      </c>
      <c r="T196" s="28" t="s">
        <v>88</v>
      </c>
      <c r="U196" s="28" t="s">
        <v>89</v>
      </c>
      <c r="V196" s="29" t="s">
        <v>68</v>
      </c>
      <c r="W196" s="67" t="s">
        <v>51</v>
      </c>
    </row>
    <row r="197" spans="1:23" ht="28">
      <c r="A197" s="17" t="str">
        <f ca="1">IFERROR(__xludf.DUMMYFUNCTION("""COMPUTED_VALUE"""),"GCSE")</f>
        <v>GCSE</v>
      </c>
      <c r="B197" s="17">
        <f ca="1">IFERROR(__xludf.DUMMYFUNCTION("""COMPUTED_VALUE"""),9)</f>
        <v>9</v>
      </c>
      <c r="C197" s="19" t="str">
        <f ca="1">IFERROR(__xludf.DUMMYFUNCTION("""COMPUTED_VALUE"""),"Algorithms part 2 - Searching and sorting")</f>
        <v>Algorithms part 2 - Searching and sorting</v>
      </c>
      <c r="D197" s="17">
        <f ca="1">IFERROR(__xludf.DUMMYFUNCTION("""COMPUTED_VALUE"""),5)</f>
        <v>5</v>
      </c>
      <c r="E197" s="19" t="str">
        <f ca="1">IFERROR(__xludf.DUMMYFUNCTION("""COMPUTED_VALUE"""),"Describe how binary search is used for finding the position of an item in a list of items")</f>
        <v>Describe how binary search is used for finding the position of an item in a list of items</v>
      </c>
      <c r="F197" s="30" t="b">
        <f ca="1">IFERROR(__xludf.DUMMYFUNCTION("""COMPUTED_VALUE"""),TRUE)</f>
        <v>1</v>
      </c>
      <c r="G197" s="26" t="b">
        <f ca="1">IFERROR(__xludf.DUMMYFUNCTION("""COMPUTED_VALUE"""),TRUE)</f>
        <v>1</v>
      </c>
      <c r="H197" s="27"/>
      <c r="I197" s="30" t="b">
        <f ca="1">IFERROR(__xludf.DUMMYFUNCTION("""COMPUTED_VALUE"""),TRUE)</f>
        <v>1</v>
      </c>
      <c r="J197" s="26"/>
      <c r="K197" s="26"/>
      <c r="L197" s="26"/>
      <c r="M197" s="26"/>
      <c r="N197" s="26"/>
      <c r="O197" s="26"/>
      <c r="P197" s="26"/>
      <c r="Q197" s="26"/>
      <c r="R197" s="27"/>
      <c r="S197" s="28" t="s">
        <v>28</v>
      </c>
      <c r="T197" s="28" t="s">
        <v>88</v>
      </c>
      <c r="U197" s="28" t="s">
        <v>89</v>
      </c>
      <c r="V197" s="29" t="s">
        <v>68</v>
      </c>
      <c r="W197" s="67" t="s">
        <v>51</v>
      </c>
    </row>
    <row r="198" spans="1:23" ht="28">
      <c r="A198" s="17" t="str">
        <f ca="1">IFERROR(__xludf.DUMMYFUNCTION("""COMPUTED_VALUE"""),"GCSE")</f>
        <v>GCSE</v>
      </c>
      <c r="B198" s="17">
        <f ca="1">IFERROR(__xludf.DUMMYFUNCTION("""COMPUTED_VALUE"""),9)</f>
        <v>9</v>
      </c>
      <c r="C198" s="19" t="str">
        <f ca="1">IFERROR(__xludf.DUMMYFUNCTION("""COMPUTED_VALUE"""),"Algorithms part 2 - Searching and sorting")</f>
        <v>Algorithms part 2 - Searching and sorting</v>
      </c>
      <c r="D198" s="17">
        <f ca="1">IFERROR(__xludf.DUMMYFUNCTION("""COMPUTED_VALUE"""),5)</f>
        <v>5</v>
      </c>
      <c r="E198" s="19" t="str">
        <f ca="1">IFERROR(__xludf.DUMMYFUNCTION("""COMPUTED_VALUE"""),"Identify scenarios when a binary search can and cannot be carried out")</f>
        <v>Identify scenarios when a binary search can and cannot be carried out</v>
      </c>
      <c r="F198" s="30" t="b">
        <f ca="1">IFERROR(__xludf.DUMMYFUNCTION("""COMPUTED_VALUE"""),TRUE)</f>
        <v>1</v>
      </c>
      <c r="G198" s="26" t="b">
        <f ca="1">IFERROR(__xludf.DUMMYFUNCTION("""COMPUTED_VALUE"""),TRUE)</f>
        <v>1</v>
      </c>
      <c r="H198" s="27"/>
      <c r="I198" s="30" t="b">
        <f ca="1">IFERROR(__xludf.DUMMYFUNCTION("""COMPUTED_VALUE"""),TRUE)</f>
        <v>1</v>
      </c>
      <c r="J198" s="26"/>
      <c r="K198" s="26"/>
      <c r="L198" s="26"/>
      <c r="M198" s="26"/>
      <c r="N198" s="26"/>
      <c r="O198" s="26"/>
      <c r="P198" s="26"/>
      <c r="Q198" s="26"/>
      <c r="R198" s="27"/>
      <c r="S198" s="28" t="s">
        <v>28</v>
      </c>
      <c r="T198" s="28" t="s">
        <v>88</v>
      </c>
      <c r="U198" s="28" t="s">
        <v>89</v>
      </c>
      <c r="V198" s="29" t="s">
        <v>68</v>
      </c>
      <c r="W198" s="67" t="s">
        <v>51</v>
      </c>
    </row>
    <row r="199" spans="1:23" ht="28">
      <c r="A199" s="17" t="str">
        <f ca="1">IFERROR(__xludf.DUMMYFUNCTION("""COMPUTED_VALUE"""),"GCSE")</f>
        <v>GCSE</v>
      </c>
      <c r="B199" s="17">
        <f ca="1">IFERROR(__xludf.DUMMYFUNCTION("""COMPUTED_VALUE"""),9)</f>
        <v>9</v>
      </c>
      <c r="C199" s="19" t="str">
        <f ca="1">IFERROR(__xludf.DUMMYFUNCTION("""COMPUTED_VALUE"""),"Algorithms part 2 - Searching and sorting")</f>
        <v>Algorithms part 2 - Searching and sorting</v>
      </c>
      <c r="D199" s="17">
        <f ca="1">IFERROR(__xludf.DUMMYFUNCTION("""COMPUTED_VALUE"""),5)</f>
        <v>5</v>
      </c>
      <c r="E199" s="19" t="str">
        <f ca="1">IFERROR(__xludf.DUMMYFUNCTION("""COMPUTED_VALUE"""),"Perform a binary search to find the position of an item in a list")</f>
        <v>Perform a binary search to find the position of an item in a list</v>
      </c>
      <c r="F199" s="30" t="b">
        <f ca="1">IFERROR(__xludf.DUMMYFUNCTION("""COMPUTED_VALUE"""),TRUE)</f>
        <v>1</v>
      </c>
      <c r="G199" s="26" t="b">
        <f ca="1">IFERROR(__xludf.DUMMYFUNCTION("""COMPUTED_VALUE"""),TRUE)</f>
        <v>1</v>
      </c>
      <c r="H199" s="27"/>
      <c r="I199" s="30" t="b">
        <f ca="1">IFERROR(__xludf.DUMMYFUNCTION("""COMPUTED_VALUE"""),TRUE)</f>
        <v>1</v>
      </c>
      <c r="J199" s="26"/>
      <c r="K199" s="26"/>
      <c r="L199" s="26"/>
      <c r="M199" s="26"/>
      <c r="N199" s="26"/>
      <c r="O199" s="26"/>
      <c r="P199" s="26"/>
      <c r="Q199" s="26" t="b">
        <f ca="1">IFERROR(__xludf.DUMMYFUNCTION("""COMPUTED_VALUE"""),TRUE)</f>
        <v>1</v>
      </c>
      <c r="R199" s="27"/>
      <c r="S199" s="28" t="s">
        <v>28</v>
      </c>
      <c r="T199" s="28" t="s">
        <v>88</v>
      </c>
      <c r="U199" s="28" t="s">
        <v>89</v>
      </c>
      <c r="V199" s="29" t="s">
        <v>68</v>
      </c>
      <c r="W199" s="67" t="s">
        <v>51</v>
      </c>
    </row>
    <row r="200" spans="1:23" ht="28">
      <c r="A200" s="17" t="str">
        <f ca="1">IFERROR(__xludf.DUMMYFUNCTION("""COMPUTED_VALUE"""),"GCSE")</f>
        <v>GCSE</v>
      </c>
      <c r="B200" s="17">
        <f ca="1">IFERROR(__xludf.DUMMYFUNCTION("""COMPUTED_VALUE"""),9)</f>
        <v>9</v>
      </c>
      <c r="C200" s="19" t="str">
        <f ca="1">IFERROR(__xludf.DUMMYFUNCTION("""COMPUTED_VALUE"""),"Algorithms part 2 - Searching and sorting")</f>
        <v>Algorithms part 2 - Searching and sorting</v>
      </c>
      <c r="D200" s="17">
        <f ca="1">IFERROR(__xludf.DUMMYFUNCTION("""COMPUTED_VALUE"""),6)</f>
        <v>6</v>
      </c>
      <c r="E200" s="19" t="str">
        <f ca="1">IFERROR(__xludf.DUMMYFUNCTION("""COMPUTED_VALUE"""),"Compare the features of linear and binary search and decide which is most suitable in a given context")</f>
        <v>Compare the features of linear and binary search and decide which is most suitable in a given context</v>
      </c>
      <c r="F200" s="30" t="b">
        <f ca="1">IFERROR(__xludf.DUMMYFUNCTION("""COMPUTED_VALUE"""),TRUE)</f>
        <v>1</v>
      </c>
      <c r="G200" s="26" t="b">
        <f ca="1">IFERROR(__xludf.DUMMYFUNCTION("""COMPUTED_VALUE"""),TRUE)</f>
        <v>1</v>
      </c>
      <c r="H200" s="27"/>
      <c r="I200" s="30" t="b">
        <f ca="1">IFERROR(__xludf.DUMMYFUNCTION("""COMPUTED_VALUE"""),TRUE)</f>
        <v>1</v>
      </c>
      <c r="J200" s="26"/>
      <c r="K200" s="26"/>
      <c r="L200" s="26" t="b">
        <f ca="1">IFERROR(__xludf.DUMMYFUNCTION("""COMPUTED_VALUE"""),TRUE)</f>
        <v>1</v>
      </c>
      <c r="M200" s="26"/>
      <c r="N200" s="26"/>
      <c r="O200" s="26"/>
      <c r="P200" s="26"/>
      <c r="Q200" s="26"/>
      <c r="R200" s="27"/>
      <c r="S200" s="28"/>
      <c r="T200" s="28"/>
      <c r="U200" s="28" t="s">
        <v>89</v>
      </c>
      <c r="V200" s="29" t="s">
        <v>68</v>
      </c>
      <c r="W200" s="67" t="s">
        <v>51</v>
      </c>
    </row>
    <row r="201" spans="1:23" ht="28">
      <c r="A201" s="17" t="str">
        <f ca="1">IFERROR(__xludf.DUMMYFUNCTION("""COMPUTED_VALUE"""),"GCSE")</f>
        <v>GCSE</v>
      </c>
      <c r="B201" s="17">
        <f ca="1">IFERROR(__xludf.DUMMYFUNCTION("""COMPUTED_VALUE"""),9)</f>
        <v>9</v>
      </c>
      <c r="C201" s="19" t="str">
        <f ca="1">IFERROR(__xludf.DUMMYFUNCTION("""COMPUTED_VALUE"""),"Algorithms part 2 - Searching and sorting")</f>
        <v>Algorithms part 2 - Searching and sorting</v>
      </c>
      <c r="D201" s="17">
        <f ca="1">IFERROR(__xludf.DUMMYFUNCTION("""COMPUTED_VALUE"""),6)</f>
        <v>6</v>
      </c>
      <c r="E201" s="19" t="str">
        <f ca="1">IFERROR(__xludf.DUMMYFUNCTION("""COMPUTED_VALUE"""),"Interpret the code for linear search and binary search")</f>
        <v>Interpret the code for linear search and binary search</v>
      </c>
      <c r="F201" s="30" t="b">
        <f ca="1">IFERROR(__xludf.DUMMYFUNCTION("""COMPUTED_VALUE"""),TRUE)</f>
        <v>1</v>
      </c>
      <c r="G201" s="26" t="b">
        <f ca="1">IFERROR(__xludf.DUMMYFUNCTION("""COMPUTED_VALUE"""),TRUE)</f>
        <v>1</v>
      </c>
      <c r="H201" s="27"/>
      <c r="I201" s="30" t="b">
        <f ca="1">IFERROR(__xludf.DUMMYFUNCTION("""COMPUTED_VALUE"""),TRUE)</f>
        <v>1</v>
      </c>
      <c r="J201" s="26"/>
      <c r="K201" s="26"/>
      <c r="L201" s="26"/>
      <c r="M201" s="26"/>
      <c r="N201" s="26"/>
      <c r="O201" s="26"/>
      <c r="P201" s="26"/>
      <c r="Q201" s="26"/>
      <c r="R201" s="27"/>
      <c r="S201" s="28" t="s">
        <v>28</v>
      </c>
      <c r="T201" s="28"/>
      <c r="U201" s="28" t="s">
        <v>89</v>
      </c>
      <c r="V201" s="29" t="s">
        <v>68</v>
      </c>
      <c r="W201" s="67" t="s">
        <v>51</v>
      </c>
    </row>
    <row r="202" spans="1:23" ht="28">
      <c r="A202" s="17" t="str">
        <f ca="1">IFERROR(__xludf.DUMMYFUNCTION("""COMPUTED_VALUE"""),"GCSE")</f>
        <v>GCSE</v>
      </c>
      <c r="B202" s="17">
        <f ca="1">IFERROR(__xludf.DUMMYFUNCTION("""COMPUTED_VALUE"""),9)</f>
        <v>9</v>
      </c>
      <c r="C202" s="19" t="str">
        <f ca="1">IFERROR(__xludf.DUMMYFUNCTION("""COMPUTED_VALUE"""),"Algorithms part 2 - Searching and sorting")</f>
        <v>Algorithms part 2 - Searching and sorting</v>
      </c>
      <c r="D202" s="17">
        <f ca="1">IFERROR(__xludf.DUMMYFUNCTION("""COMPUTED_VALUE"""),6)</f>
        <v>6</v>
      </c>
      <c r="E202" s="19" t="str">
        <f ca="1">IFERROR(__xludf.DUMMYFUNCTION("""COMPUTED_VALUE"""),"Trace code for both searching algorithms with input data")</f>
        <v>Trace code for both searching algorithms with input data</v>
      </c>
      <c r="F202" s="30" t="b">
        <f ca="1">IFERROR(__xludf.DUMMYFUNCTION("""COMPUTED_VALUE"""),TRUE)</f>
        <v>1</v>
      </c>
      <c r="G202" s="26" t="b">
        <f ca="1">IFERROR(__xludf.DUMMYFUNCTION("""COMPUTED_VALUE"""),TRUE)</f>
        <v>1</v>
      </c>
      <c r="H202" s="27"/>
      <c r="I202" s="30" t="b">
        <f ca="1">IFERROR(__xludf.DUMMYFUNCTION("""COMPUTED_VALUE"""),TRUE)</f>
        <v>1</v>
      </c>
      <c r="J202" s="26"/>
      <c r="K202" s="26"/>
      <c r="L202" s="26"/>
      <c r="M202" s="26"/>
      <c r="N202" s="26"/>
      <c r="O202" s="26"/>
      <c r="P202" s="26"/>
      <c r="Q202" s="26" t="b">
        <f ca="1">IFERROR(__xludf.DUMMYFUNCTION("""COMPUTED_VALUE"""),TRUE)</f>
        <v>1</v>
      </c>
      <c r="R202" s="27"/>
      <c r="S202" s="28" t="s">
        <v>28</v>
      </c>
      <c r="T202" s="28" t="s">
        <v>88</v>
      </c>
      <c r="U202" s="28"/>
      <c r="V202" s="29"/>
      <c r="W202" s="67" t="s">
        <v>51</v>
      </c>
    </row>
    <row r="203" spans="1:23" ht="28">
      <c r="A203" s="17" t="str">
        <f ca="1">IFERROR(__xludf.DUMMYFUNCTION("""COMPUTED_VALUE"""),"GCSE")</f>
        <v>GCSE</v>
      </c>
      <c r="B203" s="17">
        <f ca="1">IFERROR(__xludf.DUMMYFUNCTION("""COMPUTED_VALUE"""),9)</f>
        <v>9</v>
      </c>
      <c r="C203" s="19" t="str">
        <f ca="1">IFERROR(__xludf.DUMMYFUNCTION("""COMPUTED_VALUE"""),"Algorithms part 2 - Searching and sorting")</f>
        <v>Algorithms part 2 - Searching and sorting</v>
      </c>
      <c r="D203" s="17">
        <f ca="1">IFERROR(__xludf.DUMMYFUNCTION("""COMPUTED_VALUE"""),7)</f>
        <v>7</v>
      </c>
      <c r="E203" s="19" t="str">
        <f ca="1">IFERROR(__xludf.DUMMYFUNCTION("""COMPUTED_VALUE"""),"Identify why computers often need to sort data")</f>
        <v>Identify why computers often need to sort data</v>
      </c>
      <c r="F203" s="30" t="b">
        <f ca="1">IFERROR(__xludf.DUMMYFUNCTION("""COMPUTED_VALUE"""),TRUE)</f>
        <v>1</v>
      </c>
      <c r="G203" s="26" t="b">
        <f ca="1">IFERROR(__xludf.DUMMYFUNCTION("""COMPUTED_VALUE"""),TRUE)</f>
        <v>1</v>
      </c>
      <c r="H203" s="27"/>
      <c r="I203" s="30" t="b">
        <f ca="1">IFERROR(__xludf.DUMMYFUNCTION("""COMPUTED_VALUE"""),TRUE)</f>
        <v>1</v>
      </c>
      <c r="J203" s="26"/>
      <c r="K203" s="26"/>
      <c r="L203" s="26"/>
      <c r="M203" s="26"/>
      <c r="N203" s="26"/>
      <c r="O203" s="26"/>
      <c r="P203" s="26"/>
      <c r="Q203" s="26"/>
      <c r="R203" s="27"/>
      <c r="S203" s="28" t="s">
        <v>28</v>
      </c>
      <c r="T203" s="28" t="s">
        <v>88</v>
      </c>
      <c r="U203" s="28"/>
      <c r="V203" s="29" t="s">
        <v>68</v>
      </c>
      <c r="W203" s="67" t="s">
        <v>51</v>
      </c>
    </row>
    <row r="204" spans="1:23" ht="28">
      <c r="A204" s="17" t="str">
        <f ca="1">IFERROR(__xludf.DUMMYFUNCTION("""COMPUTED_VALUE"""),"GCSE")</f>
        <v>GCSE</v>
      </c>
      <c r="B204" s="17">
        <f ca="1">IFERROR(__xludf.DUMMYFUNCTION("""COMPUTED_VALUE"""),9)</f>
        <v>9</v>
      </c>
      <c r="C204" s="19" t="str">
        <f ca="1">IFERROR(__xludf.DUMMYFUNCTION("""COMPUTED_VALUE"""),"Algorithms part 2 - Searching and sorting")</f>
        <v>Algorithms part 2 - Searching and sorting</v>
      </c>
      <c r="D204" s="17">
        <f ca="1">IFERROR(__xludf.DUMMYFUNCTION("""COMPUTED_VALUE"""),7)</f>
        <v>7</v>
      </c>
      <c r="E204" s="19" t="str">
        <f ca="1">IFERROR(__xludf.DUMMYFUNCTION("""COMPUTED_VALUE"""),"Perform a bubble sort to order a list containing sample data")</f>
        <v>Perform a bubble sort to order a list containing sample data</v>
      </c>
      <c r="F204" s="30" t="b">
        <f ca="1">IFERROR(__xludf.DUMMYFUNCTION("""COMPUTED_VALUE"""),TRUE)</f>
        <v>1</v>
      </c>
      <c r="G204" s="26" t="b">
        <f ca="1">IFERROR(__xludf.DUMMYFUNCTION("""COMPUTED_VALUE"""),TRUE)</f>
        <v>1</v>
      </c>
      <c r="H204" s="27"/>
      <c r="I204" s="30" t="b">
        <f ca="1">IFERROR(__xludf.DUMMYFUNCTION("""COMPUTED_VALUE"""),TRUE)</f>
        <v>1</v>
      </c>
      <c r="J204" s="26"/>
      <c r="K204" s="26"/>
      <c r="L204" s="26"/>
      <c r="M204" s="26"/>
      <c r="N204" s="26"/>
      <c r="O204" s="26"/>
      <c r="P204" s="26"/>
      <c r="Q204" s="26" t="b">
        <f ca="1">IFERROR(__xludf.DUMMYFUNCTION("""COMPUTED_VALUE"""),TRUE)</f>
        <v>1</v>
      </c>
      <c r="R204" s="27"/>
      <c r="S204" s="28" t="s">
        <v>28</v>
      </c>
      <c r="T204" s="28" t="s">
        <v>88</v>
      </c>
      <c r="U204" s="28" t="s">
        <v>89</v>
      </c>
      <c r="V204" s="29" t="s">
        <v>68</v>
      </c>
      <c r="W204" s="67" t="s">
        <v>51</v>
      </c>
    </row>
    <row r="205" spans="1:23" ht="28">
      <c r="A205" s="17" t="str">
        <f ca="1">IFERROR(__xludf.DUMMYFUNCTION("""COMPUTED_VALUE"""),"GCSE")</f>
        <v>GCSE</v>
      </c>
      <c r="B205" s="17">
        <f ca="1">IFERROR(__xludf.DUMMYFUNCTION("""COMPUTED_VALUE"""),9)</f>
        <v>9</v>
      </c>
      <c r="C205" s="19" t="str">
        <f ca="1">IFERROR(__xludf.DUMMYFUNCTION("""COMPUTED_VALUE"""),"Algorithms part 2 - Searching and sorting")</f>
        <v>Algorithms part 2 - Searching and sorting</v>
      </c>
      <c r="D205" s="17">
        <f ca="1">IFERROR(__xludf.DUMMYFUNCTION("""COMPUTED_VALUE"""),7)</f>
        <v>7</v>
      </c>
      <c r="E205" s="19" t="str">
        <f ca="1">IFERROR(__xludf.DUMMYFUNCTION("""COMPUTED_VALUE"""),"Traverse a list of items, swapping the items that are out of order")</f>
        <v>Traverse a list of items, swapping the items that are out of order</v>
      </c>
      <c r="F205" s="30" t="b">
        <f ca="1">IFERROR(__xludf.DUMMYFUNCTION("""COMPUTED_VALUE"""),TRUE)</f>
        <v>1</v>
      </c>
      <c r="G205" s="26" t="b">
        <f ca="1">IFERROR(__xludf.DUMMYFUNCTION("""COMPUTED_VALUE"""),TRUE)</f>
        <v>1</v>
      </c>
      <c r="H205" s="27"/>
      <c r="I205" s="30" t="b">
        <f ca="1">IFERROR(__xludf.DUMMYFUNCTION("""COMPUTED_VALUE"""),TRUE)</f>
        <v>1</v>
      </c>
      <c r="J205" s="26"/>
      <c r="K205" s="26"/>
      <c r="L205" s="26"/>
      <c r="M205" s="26"/>
      <c r="N205" s="26"/>
      <c r="O205" s="26"/>
      <c r="P205" s="26"/>
      <c r="Q205" s="26"/>
      <c r="R205" s="27"/>
      <c r="S205" s="28" t="s">
        <v>28</v>
      </c>
      <c r="T205" s="28" t="s">
        <v>88</v>
      </c>
      <c r="U205" s="28" t="s">
        <v>89</v>
      </c>
      <c r="V205" s="29" t="s">
        <v>68</v>
      </c>
      <c r="W205" s="67" t="s">
        <v>51</v>
      </c>
    </row>
    <row r="206" spans="1:23" ht="28">
      <c r="A206" s="17" t="str">
        <f ca="1">IFERROR(__xludf.DUMMYFUNCTION("""COMPUTED_VALUE"""),"GCSE")</f>
        <v>GCSE</v>
      </c>
      <c r="B206" s="17">
        <f ca="1">IFERROR(__xludf.DUMMYFUNCTION("""COMPUTED_VALUE"""),9)</f>
        <v>9</v>
      </c>
      <c r="C206" s="19" t="str">
        <f ca="1">IFERROR(__xludf.DUMMYFUNCTION("""COMPUTED_VALUE"""),"Algorithms part 2 - Searching and sorting")</f>
        <v>Algorithms part 2 - Searching and sorting</v>
      </c>
      <c r="D206" s="17">
        <f ca="1">IFERROR(__xludf.DUMMYFUNCTION("""COMPUTED_VALUE"""),8)</f>
        <v>8</v>
      </c>
      <c r="E206" s="19" t="str">
        <f ca="1">IFERROR(__xludf.DUMMYFUNCTION("""COMPUTED_VALUE"""),"Describe how insertion sort is used for ordering a list of items")</f>
        <v>Describe how insertion sort is used for ordering a list of items</v>
      </c>
      <c r="F206" s="30" t="b">
        <f ca="1">IFERROR(__xludf.DUMMYFUNCTION("""COMPUTED_VALUE"""),TRUE)</f>
        <v>1</v>
      </c>
      <c r="G206" s="26" t="b">
        <f ca="1">IFERROR(__xludf.DUMMYFUNCTION("""COMPUTED_VALUE"""),TRUE)</f>
        <v>1</v>
      </c>
      <c r="H206" s="27"/>
      <c r="I206" s="30" t="b">
        <f ca="1">IFERROR(__xludf.DUMMYFUNCTION("""COMPUTED_VALUE"""),TRUE)</f>
        <v>1</v>
      </c>
      <c r="J206" s="26"/>
      <c r="K206" s="26"/>
      <c r="L206" s="26"/>
      <c r="M206" s="26"/>
      <c r="N206" s="26"/>
      <c r="O206" s="26"/>
      <c r="P206" s="26"/>
      <c r="Q206" s="26"/>
      <c r="R206" s="27"/>
      <c r="S206" s="28" t="s">
        <v>28</v>
      </c>
      <c r="T206" s="28" t="s">
        <v>88</v>
      </c>
      <c r="U206" s="28" t="s">
        <v>89</v>
      </c>
      <c r="V206" s="29" t="s">
        <v>68</v>
      </c>
      <c r="W206" s="67" t="s">
        <v>51</v>
      </c>
    </row>
    <row r="207" spans="1:23" ht="28">
      <c r="A207" s="17" t="str">
        <f ca="1">IFERROR(__xludf.DUMMYFUNCTION("""COMPUTED_VALUE"""),"GCSE")</f>
        <v>GCSE</v>
      </c>
      <c r="B207" s="17">
        <f ca="1">IFERROR(__xludf.DUMMYFUNCTION("""COMPUTED_VALUE"""),9)</f>
        <v>9</v>
      </c>
      <c r="C207" s="19" t="str">
        <f ca="1">IFERROR(__xludf.DUMMYFUNCTION("""COMPUTED_VALUE"""),"Algorithms part 2 - Searching and sorting")</f>
        <v>Algorithms part 2 - Searching and sorting</v>
      </c>
      <c r="D207" s="17">
        <f ca="1">IFERROR(__xludf.DUMMYFUNCTION("""COMPUTED_VALUE"""),8)</f>
        <v>8</v>
      </c>
      <c r="E207" s="19" t="str">
        <f ca="1">IFERROR(__xludf.DUMMYFUNCTION("""COMPUTED_VALUE"""),"Insert an item into an ordered list of items")</f>
        <v>Insert an item into an ordered list of items</v>
      </c>
      <c r="F207" s="30" t="b">
        <f ca="1">IFERROR(__xludf.DUMMYFUNCTION("""COMPUTED_VALUE"""),TRUE)</f>
        <v>1</v>
      </c>
      <c r="G207" s="26" t="b">
        <f ca="1">IFERROR(__xludf.DUMMYFUNCTION("""COMPUTED_VALUE"""),TRUE)</f>
        <v>1</v>
      </c>
      <c r="H207" s="27"/>
      <c r="I207" s="30" t="b">
        <f ca="1">IFERROR(__xludf.DUMMYFUNCTION("""COMPUTED_VALUE"""),TRUE)</f>
        <v>1</v>
      </c>
      <c r="J207" s="26"/>
      <c r="K207" s="26"/>
      <c r="L207" s="26"/>
      <c r="M207" s="26"/>
      <c r="N207" s="26"/>
      <c r="O207" s="26"/>
      <c r="P207" s="26"/>
      <c r="Q207" s="26"/>
      <c r="R207" s="27"/>
      <c r="S207" s="31" t="s">
        <v>94</v>
      </c>
      <c r="T207" s="31"/>
      <c r="U207" s="31"/>
      <c r="V207" s="33" t="s">
        <v>95</v>
      </c>
      <c r="W207" s="67"/>
    </row>
    <row r="208" spans="1:23" ht="28">
      <c r="A208" s="17" t="str">
        <f ca="1">IFERROR(__xludf.DUMMYFUNCTION("""COMPUTED_VALUE"""),"GCSE")</f>
        <v>GCSE</v>
      </c>
      <c r="B208" s="17">
        <f ca="1">IFERROR(__xludf.DUMMYFUNCTION("""COMPUTED_VALUE"""),9)</f>
        <v>9</v>
      </c>
      <c r="C208" s="19" t="str">
        <f ca="1">IFERROR(__xludf.DUMMYFUNCTION("""COMPUTED_VALUE"""),"Algorithms part 2 - Searching and sorting")</f>
        <v>Algorithms part 2 - Searching and sorting</v>
      </c>
      <c r="D208" s="17">
        <f ca="1">IFERROR(__xludf.DUMMYFUNCTION("""COMPUTED_VALUE"""),8)</f>
        <v>8</v>
      </c>
      <c r="E208" s="19" t="str">
        <f ca="1">IFERROR(__xludf.DUMMYFUNCTION("""COMPUTED_VALUE"""),"Perform an insertion sort to order a list containing sample data")</f>
        <v>Perform an insertion sort to order a list containing sample data</v>
      </c>
      <c r="F208" s="30" t="b">
        <f ca="1">IFERROR(__xludf.DUMMYFUNCTION("""COMPUTED_VALUE"""),TRUE)</f>
        <v>1</v>
      </c>
      <c r="G208" s="26" t="b">
        <f ca="1">IFERROR(__xludf.DUMMYFUNCTION("""COMPUTED_VALUE"""),TRUE)</f>
        <v>1</v>
      </c>
      <c r="H208" s="27"/>
      <c r="I208" s="30" t="b">
        <f ca="1">IFERROR(__xludf.DUMMYFUNCTION("""COMPUTED_VALUE"""),TRUE)</f>
        <v>1</v>
      </c>
      <c r="J208" s="26"/>
      <c r="K208" s="26"/>
      <c r="L208" s="26"/>
      <c r="M208" s="26"/>
      <c r="N208" s="26"/>
      <c r="O208" s="26"/>
      <c r="P208" s="26"/>
      <c r="Q208" s="26" t="b">
        <f ca="1">IFERROR(__xludf.DUMMYFUNCTION("""COMPUTED_VALUE"""),TRUE)</f>
        <v>1</v>
      </c>
      <c r="R208" s="27"/>
      <c r="S208" s="31" t="s">
        <v>70</v>
      </c>
      <c r="T208" s="31" t="s">
        <v>96</v>
      </c>
      <c r="U208" s="31" t="s">
        <v>97</v>
      </c>
      <c r="V208" s="33" t="s">
        <v>95</v>
      </c>
      <c r="W208" s="67"/>
    </row>
    <row r="209" spans="1:23" ht="28">
      <c r="A209" s="17" t="str">
        <f ca="1">IFERROR(__xludf.DUMMYFUNCTION("""COMPUTED_VALUE"""),"GCSE")</f>
        <v>GCSE</v>
      </c>
      <c r="B209" s="17">
        <f ca="1">IFERROR(__xludf.DUMMYFUNCTION("""COMPUTED_VALUE"""),9)</f>
        <v>9</v>
      </c>
      <c r="C209" s="19" t="str">
        <f ca="1">IFERROR(__xludf.DUMMYFUNCTION("""COMPUTED_VALUE"""),"Algorithms part 2 - Searching and sorting")</f>
        <v>Algorithms part 2 - Searching and sorting</v>
      </c>
      <c r="D209" s="17">
        <f ca="1">IFERROR(__xludf.DUMMYFUNCTION("""COMPUTED_VALUE"""),9)</f>
        <v>9</v>
      </c>
      <c r="E209" s="19" t="str">
        <f ca="1">IFERROR(__xludf.DUMMYFUNCTION("""COMPUTED_VALUE"""),"Identify factors that could influence the efficiency of a bubble sort implementation")</f>
        <v>Identify factors that could influence the efficiency of a bubble sort implementation</v>
      </c>
      <c r="F209" s="30" t="b">
        <f ca="1">IFERROR(__xludf.DUMMYFUNCTION("""COMPUTED_VALUE"""),TRUE)</f>
        <v>1</v>
      </c>
      <c r="G209" s="26" t="b">
        <f ca="1">IFERROR(__xludf.DUMMYFUNCTION("""COMPUTED_VALUE"""),TRUE)</f>
        <v>1</v>
      </c>
      <c r="H209" s="27"/>
      <c r="I209" s="30" t="b">
        <f ca="1">IFERROR(__xludf.DUMMYFUNCTION("""COMPUTED_VALUE"""),TRUE)</f>
        <v>1</v>
      </c>
      <c r="J209" s="26"/>
      <c r="K209" s="26"/>
      <c r="L209" s="26"/>
      <c r="M209" s="26"/>
      <c r="N209" s="26"/>
      <c r="O209" s="26"/>
      <c r="P209" s="26"/>
      <c r="Q209" s="26"/>
      <c r="R209" s="27"/>
      <c r="S209" s="31" t="s">
        <v>94</v>
      </c>
      <c r="T209" s="31" t="s">
        <v>96</v>
      </c>
      <c r="U209" s="31"/>
      <c r="V209" s="32"/>
      <c r="W209" s="67"/>
    </row>
    <row r="210" spans="1:23" ht="28">
      <c r="A210" s="17" t="str">
        <f ca="1">IFERROR(__xludf.DUMMYFUNCTION("""COMPUTED_VALUE"""),"GCSE")</f>
        <v>GCSE</v>
      </c>
      <c r="B210" s="17">
        <f ca="1">IFERROR(__xludf.DUMMYFUNCTION("""COMPUTED_VALUE"""),9)</f>
        <v>9</v>
      </c>
      <c r="C210" s="19" t="str">
        <f ca="1">IFERROR(__xludf.DUMMYFUNCTION("""COMPUTED_VALUE"""),"Algorithms part 2 - Searching and sorting")</f>
        <v>Algorithms part 2 - Searching and sorting</v>
      </c>
      <c r="D210" s="17">
        <f ca="1">IFERROR(__xludf.DUMMYFUNCTION("""COMPUTED_VALUE"""),9)</f>
        <v>9</v>
      </c>
      <c r="E210" s="19" t="str">
        <f ca="1">IFERROR(__xludf.DUMMYFUNCTION("""COMPUTED_VALUE"""),"Interpret the code for bubble sort and insertion sort")</f>
        <v>Interpret the code for bubble sort and insertion sort</v>
      </c>
      <c r="F210" s="30" t="b">
        <f ca="1">IFERROR(__xludf.DUMMYFUNCTION("""COMPUTED_VALUE"""),TRUE)</f>
        <v>1</v>
      </c>
      <c r="G210" s="26" t="b">
        <f ca="1">IFERROR(__xludf.DUMMYFUNCTION("""COMPUTED_VALUE"""),TRUE)</f>
        <v>1</v>
      </c>
      <c r="H210" s="27"/>
      <c r="I210" s="30" t="b">
        <f ca="1">IFERROR(__xludf.DUMMYFUNCTION("""COMPUTED_VALUE"""),TRUE)</f>
        <v>1</v>
      </c>
      <c r="J210" s="26"/>
      <c r="K210" s="26"/>
      <c r="L210" s="26"/>
      <c r="M210" s="26"/>
      <c r="N210" s="26"/>
      <c r="O210" s="26"/>
      <c r="P210" s="26"/>
      <c r="Q210" s="26" t="b">
        <f ca="1">IFERROR(__xludf.DUMMYFUNCTION("""COMPUTED_VALUE"""),TRUE)</f>
        <v>1</v>
      </c>
      <c r="R210" s="27"/>
      <c r="S210" s="31" t="s">
        <v>94</v>
      </c>
      <c r="T210" s="31"/>
      <c r="U210" s="31"/>
      <c r="V210" s="32"/>
      <c r="W210" s="67"/>
    </row>
    <row r="211" spans="1:23" ht="28">
      <c r="A211" s="17" t="str">
        <f ca="1">IFERROR(__xludf.DUMMYFUNCTION("""COMPUTED_VALUE"""),"GCSE")</f>
        <v>GCSE</v>
      </c>
      <c r="B211" s="17">
        <f ca="1">IFERROR(__xludf.DUMMYFUNCTION("""COMPUTED_VALUE"""),9)</f>
        <v>9</v>
      </c>
      <c r="C211" s="19" t="str">
        <f ca="1">IFERROR(__xludf.DUMMYFUNCTION("""COMPUTED_VALUE"""),"Algorithms part 2 - Searching and sorting")</f>
        <v>Algorithms part 2 - Searching and sorting</v>
      </c>
      <c r="D211" s="17">
        <f ca="1">IFERROR(__xludf.DUMMYFUNCTION("""COMPUTED_VALUE"""),9)</f>
        <v>9</v>
      </c>
      <c r="E211" s="19" t="str">
        <f ca="1">IFERROR(__xludf.DUMMYFUNCTION("""COMPUTED_VALUE"""),"Trace code for both sorting algorithms with input data")</f>
        <v>Trace code for both sorting algorithms with input data</v>
      </c>
      <c r="F211" s="30" t="b">
        <f ca="1">IFERROR(__xludf.DUMMYFUNCTION("""COMPUTED_VALUE"""),TRUE)</f>
        <v>1</v>
      </c>
      <c r="G211" s="26" t="b">
        <f ca="1">IFERROR(__xludf.DUMMYFUNCTION("""COMPUTED_VALUE"""),TRUE)</f>
        <v>1</v>
      </c>
      <c r="H211" s="27"/>
      <c r="I211" s="30" t="b">
        <f ca="1">IFERROR(__xludf.DUMMYFUNCTION("""COMPUTED_VALUE"""),TRUE)</f>
        <v>1</v>
      </c>
      <c r="J211" s="26"/>
      <c r="K211" s="26"/>
      <c r="L211" s="26"/>
      <c r="M211" s="26"/>
      <c r="N211" s="26"/>
      <c r="O211" s="26"/>
      <c r="P211" s="26"/>
      <c r="Q211" s="26" t="b">
        <f ca="1">IFERROR(__xludf.DUMMYFUNCTION("""COMPUTED_VALUE"""),TRUE)</f>
        <v>1</v>
      </c>
      <c r="R211" s="27"/>
      <c r="S211" s="28" t="s">
        <v>94</v>
      </c>
      <c r="T211" s="28" t="s">
        <v>96</v>
      </c>
      <c r="U211" s="28" t="s">
        <v>97</v>
      </c>
      <c r="V211" s="29" t="s">
        <v>95</v>
      </c>
      <c r="W211" s="67"/>
    </row>
    <row r="212" spans="1:23" ht="28">
      <c r="A212" s="17" t="str">
        <f ca="1">IFERROR(__xludf.DUMMYFUNCTION("""COMPUTED_VALUE"""),"GCSE")</f>
        <v>GCSE</v>
      </c>
      <c r="B212" s="17">
        <f ca="1">IFERROR(__xludf.DUMMYFUNCTION("""COMPUTED_VALUE"""),9)</f>
        <v>9</v>
      </c>
      <c r="C212" s="19" t="str">
        <f ca="1">IFERROR(__xludf.DUMMYFUNCTION("""COMPUTED_VALUE"""),"Algorithms part 2 - Searching and sorting")</f>
        <v>Algorithms part 2 - Searching and sorting</v>
      </c>
      <c r="D212" s="17">
        <f ca="1">IFERROR(__xludf.DUMMYFUNCTION("""COMPUTED_VALUE"""),10)</f>
        <v>10</v>
      </c>
      <c r="E212" s="19" t="str">
        <f ca="1">IFERROR(__xludf.DUMMYFUNCTION("""COMPUTED_VALUE"""),"Describe how merge sort is used for ordering a list of items")</f>
        <v>Describe how merge sort is used for ordering a list of items</v>
      </c>
      <c r="F212" s="30" t="b">
        <f ca="1">IFERROR(__xludf.DUMMYFUNCTION("""COMPUTED_VALUE"""),TRUE)</f>
        <v>1</v>
      </c>
      <c r="G212" s="26" t="b">
        <f ca="1">IFERROR(__xludf.DUMMYFUNCTION("""COMPUTED_VALUE"""),TRUE)</f>
        <v>1</v>
      </c>
      <c r="H212" s="27"/>
      <c r="I212" s="30" t="b">
        <f ca="1">IFERROR(__xludf.DUMMYFUNCTION("""COMPUTED_VALUE"""),TRUE)</f>
        <v>1</v>
      </c>
      <c r="J212" s="26"/>
      <c r="K212" s="26"/>
      <c r="L212" s="26"/>
      <c r="M212" s="26"/>
      <c r="N212" s="26"/>
      <c r="O212" s="26"/>
      <c r="P212" s="26"/>
      <c r="Q212" s="26"/>
      <c r="R212" s="27"/>
      <c r="S212" s="31" t="s">
        <v>94</v>
      </c>
      <c r="T212" s="31" t="s">
        <v>96</v>
      </c>
      <c r="U212" s="31" t="s">
        <v>97</v>
      </c>
      <c r="V212" s="32"/>
      <c r="W212" s="67"/>
    </row>
    <row r="213" spans="1:23" ht="28">
      <c r="A213" s="17" t="str">
        <f ca="1">IFERROR(__xludf.DUMMYFUNCTION("""COMPUTED_VALUE"""),"GCSE")</f>
        <v>GCSE</v>
      </c>
      <c r="B213" s="17">
        <f ca="1">IFERROR(__xludf.DUMMYFUNCTION("""COMPUTED_VALUE"""),9)</f>
        <v>9</v>
      </c>
      <c r="C213" s="19" t="str">
        <f ca="1">IFERROR(__xludf.DUMMYFUNCTION("""COMPUTED_VALUE"""),"Algorithms part 2 - Searching and sorting")</f>
        <v>Algorithms part 2 - Searching and sorting</v>
      </c>
      <c r="D213" s="17">
        <f ca="1">IFERROR(__xludf.DUMMYFUNCTION("""COMPUTED_VALUE"""),10)</f>
        <v>10</v>
      </c>
      <c r="E213" s="19" t="str">
        <f ca="1">IFERROR(__xludf.DUMMYFUNCTION("""COMPUTED_VALUE"""),"Merge two ordered lists of items into a new ordered list")</f>
        <v>Merge two ordered lists of items into a new ordered list</v>
      </c>
      <c r="F213" s="30" t="b">
        <f ca="1">IFERROR(__xludf.DUMMYFUNCTION("""COMPUTED_VALUE"""),TRUE)</f>
        <v>1</v>
      </c>
      <c r="G213" s="26" t="b">
        <f ca="1">IFERROR(__xludf.DUMMYFUNCTION("""COMPUTED_VALUE"""),TRUE)</f>
        <v>1</v>
      </c>
      <c r="H213" s="27"/>
      <c r="I213" s="30" t="b">
        <f ca="1">IFERROR(__xludf.DUMMYFUNCTION("""COMPUTED_VALUE"""),TRUE)</f>
        <v>1</v>
      </c>
      <c r="J213" s="26"/>
      <c r="K213" s="26"/>
      <c r="L213" s="26"/>
      <c r="M213" s="26"/>
      <c r="N213" s="26"/>
      <c r="O213" s="26"/>
      <c r="P213" s="26"/>
      <c r="Q213" s="26"/>
      <c r="R213" s="27"/>
      <c r="S213" s="28" t="s">
        <v>94</v>
      </c>
      <c r="T213" s="28" t="s">
        <v>96</v>
      </c>
      <c r="U213" s="28"/>
      <c r="V213" s="29"/>
      <c r="W213" s="67"/>
    </row>
    <row r="214" spans="1:23" ht="28">
      <c r="A214" s="17" t="str">
        <f ca="1">IFERROR(__xludf.DUMMYFUNCTION("""COMPUTED_VALUE"""),"GCSE")</f>
        <v>GCSE</v>
      </c>
      <c r="B214" s="17">
        <f ca="1">IFERROR(__xludf.DUMMYFUNCTION("""COMPUTED_VALUE"""),9)</f>
        <v>9</v>
      </c>
      <c r="C214" s="19" t="str">
        <f ca="1">IFERROR(__xludf.DUMMYFUNCTION("""COMPUTED_VALUE"""),"Algorithms part 2 - Searching and sorting")</f>
        <v>Algorithms part 2 - Searching and sorting</v>
      </c>
      <c r="D214" s="17">
        <f ca="1">IFERROR(__xludf.DUMMYFUNCTION("""COMPUTED_VALUE"""),10)</f>
        <v>10</v>
      </c>
      <c r="E214" s="19" t="str">
        <f ca="1">IFERROR(__xludf.DUMMYFUNCTION("""COMPUTED_VALUE"""),"Perform a merge sort to order a list containing sample data")</f>
        <v>Perform a merge sort to order a list containing sample data</v>
      </c>
      <c r="F214" s="30" t="b">
        <f ca="1">IFERROR(__xludf.DUMMYFUNCTION("""COMPUTED_VALUE"""),TRUE)</f>
        <v>1</v>
      </c>
      <c r="G214" s="26" t="b">
        <f ca="1">IFERROR(__xludf.DUMMYFUNCTION("""COMPUTED_VALUE"""),TRUE)</f>
        <v>1</v>
      </c>
      <c r="H214" s="27"/>
      <c r="I214" s="30" t="b">
        <f ca="1">IFERROR(__xludf.DUMMYFUNCTION("""COMPUTED_VALUE"""),TRUE)</f>
        <v>1</v>
      </c>
      <c r="J214" s="26"/>
      <c r="K214" s="26"/>
      <c r="L214" s="26"/>
      <c r="M214" s="26"/>
      <c r="N214" s="26"/>
      <c r="O214" s="26"/>
      <c r="P214" s="26"/>
      <c r="Q214" s="26"/>
      <c r="R214" s="27"/>
      <c r="S214" s="31" t="s">
        <v>94</v>
      </c>
      <c r="T214" s="31" t="s">
        <v>96</v>
      </c>
      <c r="U214" s="31" t="s">
        <v>97</v>
      </c>
      <c r="V214" s="32"/>
      <c r="W214" s="67"/>
    </row>
    <row r="215" spans="1:23" ht="28">
      <c r="A215" s="17" t="str">
        <f ca="1">IFERROR(__xludf.DUMMYFUNCTION("""COMPUTED_VALUE"""),"GCSE")</f>
        <v>GCSE</v>
      </c>
      <c r="B215" s="17">
        <f ca="1">IFERROR(__xludf.DUMMYFUNCTION("""COMPUTED_VALUE"""),9)</f>
        <v>9</v>
      </c>
      <c r="C215" s="19" t="str">
        <f ca="1">IFERROR(__xludf.DUMMYFUNCTION("""COMPUTED_VALUE"""),"Algorithms part 2 - Searching and sorting")</f>
        <v>Algorithms part 2 - Searching and sorting</v>
      </c>
      <c r="D215" s="17">
        <f ca="1">IFERROR(__xludf.DUMMYFUNCTION("""COMPUTED_VALUE"""),11)</f>
        <v>11</v>
      </c>
      <c r="E215" s="19" t="str">
        <f ca="1">IFERROR(__xludf.DUMMYFUNCTION("""COMPUTED_VALUE"""),"Analyse and fix errors in a flowchart")</f>
        <v>Analyse and fix errors in a flowchart</v>
      </c>
      <c r="F215" s="30" t="b">
        <f ca="1">IFERROR(__xludf.DUMMYFUNCTION("""COMPUTED_VALUE"""),TRUE)</f>
        <v>1</v>
      </c>
      <c r="G215" s="26" t="b">
        <f ca="1">IFERROR(__xludf.DUMMYFUNCTION("""COMPUTED_VALUE"""),TRUE)</f>
        <v>1</v>
      </c>
      <c r="H215" s="27"/>
      <c r="I215" s="30" t="b">
        <f ca="1">IFERROR(__xludf.DUMMYFUNCTION("""COMPUTED_VALUE"""),TRUE)</f>
        <v>1</v>
      </c>
      <c r="J215" s="26"/>
      <c r="K215" s="26"/>
      <c r="L215" s="26"/>
      <c r="M215" s="26"/>
      <c r="N215" s="26"/>
      <c r="O215" s="26"/>
      <c r="P215" s="26"/>
      <c r="Q215" s="26"/>
      <c r="R215" s="27"/>
      <c r="S215" s="28" t="s">
        <v>94</v>
      </c>
      <c r="T215" s="28" t="s">
        <v>96</v>
      </c>
      <c r="U215" s="28" t="s">
        <v>97</v>
      </c>
      <c r="V215" s="29" t="s">
        <v>95</v>
      </c>
      <c r="W215" s="67"/>
    </row>
    <row r="216" spans="1:23" ht="28">
      <c r="A216" s="17" t="str">
        <f ca="1">IFERROR(__xludf.DUMMYFUNCTION("""COMPUTED_VALUE"""),"GCSE")</f>
        <v>GCSE</v>
      </c>
      <c r="B216" s="17">
        <f ca="1">IFERROR(__xludf.DUMMYFUNCTION("""COMPUTED_VALUE"""),9)</f>
        <v>9</v>
      </c>
      <c r="C216" s="19" t="str">
        <f ca="1">IFERROR(__xludf.DUMMYFUNCTION("""COMPUTED_VALUE"""),"Algorithms part 2 - Searching and sorting")</f>
        <v>Algorithms part 2 - Searching and sorting</v>
      </c>
      <c r="D216" s="17">
        <f ca="1">IFERROR(__xludf.DUMMYFUNCTION("""COMPUTED_VALUE"""),11)</f>
        <v>11</v>
      </c>
      <c r="E216" s="19" t="str">
        <f ca="1">IFERROR(__xludf.DUMMYFUNCTION("""COMPUTED_VALUE"""),"Interpret algorithms and suggest improvements")</f>
        <v>Interpret algorithms and suggest improvements</v>
      </c>
      <c r="F216" s="30" t="b">
        <f ca="1">IFERROR(__xludf.DUMMYFUNCTION("""COMPUTED_VALUE"""),TRUE)</f>
        <v>1</v>
      </c>
      <c r="G216" s="26" t="b">
        <f ca="1">IFERROR(__xludf.DUMMYFUNCTION("""COMPUTED_VALUE"""),TRUE)</f>
        <v>1</v>
      </c>
      <c r="H216" s="27"/>
      <c r="I216" s="30" t="b">
        <f ca="1">IFERROR(__xludf.DUMMYFUNCTION("""COMPUTED_VALUE"""),TRUE)</f>
        <v>1</v>
      </c>
      <c r="J216" s="26"/>
      <c r="K216" s="26"/>
      <c r="L216" s="26" t="b">
        <f ca="1">IFERROR(__xludf.DUMMYFUNCTION("""COMPUTED_VALUE"""),TRUE)</f>
        <v>1</v>
      </c>
      <c r="M216" s="26"/>
      <c r="N216" s="26"/>
      <c r="O216" s="26"/>
      <c r="P216" s="26"/>
      <c r="Q216" s="26"/>
      <c r="R216" s="27"/>
      <c r="S216" s="31" t="s">
        <v>94</v>
      </c>
      <c r="T216" s="31" t="s">
        <v>96</v>
      </c>
      <c r="U216" s="31" t="s">
        <v>97</v>
      </c>
      <c r="V216" s="32"/>
      <c r="W216" s="67"/>
    </row>
    <row r="217" spans="1:23" ht="28">
      <c r="A217" s="17" t="str">
        <f ca="1">IFERROR(__xludf.DUMMYFUNCTION("""COMPUTED_VALUE"""),"GCSE")</f>
        <v>GCSE</v>
      </c>
      <c r="B217" s="17">
        <f ca="1">IFERROR(__xludf.DUMMYFUNCTION("""COMPUTED_VALUE"""),9)</f>
        <v>9</v>
      </c>
      <c r="C217" s="19" t="str">
        <f ca="1">IFERROR(__xludf.DUMMYFUNCTION("""COMPUTED_VALUE"""),"Algorithms part 2 - Searching and sorting")</f>
        <v>Algorithms part 2 - Searching and sorting</v>
      </c>
      <c r="D217" s="17">
        <f ca="1">IFERROR(__xludf.DUMMYFUNCTION("""COMPUTED_VALUE"""),11)</f>
        <v>11</v>
      </c>
      <c r="E217" s="19" t="str">
        <f ca="1">IFERROR(__xludf.DUMMYFUNCTION("""COMPUTED_VALUE"""),"Perform searching and sorting algorithms on samples of data")</f>
        <v>Perform searching and sorting algorithms on samples of data</v>
      </c>
      <c r="F217" s="30" t="b">
        <f ca="1">IFERROR(__xludf.DUMMYFUNCTION("""COMPUTED_VALUE"""),TRUE)</f>
        <v>1</v>
      </c>
      <c r="G217" s="26" t="b">
        <f ca="1">IFERROR(__xludf.DUMMYFUNCTION("""COMPUTED_VALUE"""),TRUE)</f>
        <v>1</v>
      </c>
      <c r="H217" s="27"/>
      <c r="I217" s="30" t="b">
        <f ca="1">IFERROR(__xludf.DUMMYFUNCTION("""COMPUTED_VALUE"""),TRUE)</f>
        <v>1</v>
      </c>
      <c r="J217" s="26"/>
      <c r="K217" s="26"/>
      <c r="L217" s="26"/>
      <c r="M217" s="26"/>
      <c r="N217" s="26"/>
      <c r="O217" s="26"/>
      <c r="P217" s="26"/>
      <c r="Q217" s="26" t="b">
        <f ca="1">IFERROR(__xludf.DUMMYFUNCTION("""COMPUTED_VALUE"""),TRUE)</f>
        <v>1</v>
      </c>
      <c r="R217" s="27"/>
      <c r="S217" s="28" t="s">
        <v>70</v>
      </c>
      <c r="T217" s="28"/>
      <c r="U217" s="28"/>
      <c r="V217" s="29" t="s">
        <v>95</v>
      </c>
      <c r="W217" s="67"/>
    </row>
    <row r="218" spans="1:23" ht="28">
      <c r="A218" s="17" t="str">
        <f ca="1">IFERROR(__xludf.DUMMYFUNCTION("""COMPUTED_VALUE"""),"GCSE")</f>
        <v>GCSE</v>
      </c>
      <c r="B218" s="17">
        <f ca="1">IFERROR(__xludf.DUMMYFUNCTION("""COMPUTED_VALUE"""),9)</f>
        <v>9</v>
      </c>
      <c r="C218" s="19" t="str">
        <f ca="1">IFERROR(__xludf.DUMMYFUNCTION("""COMPUTED_VALUE"""),"Algorithms part 2 - Searching and sorting")</f>
        <v>Algorithms part 2 - Searching and sorting</v>
      </c>
      <c r="D218" s="17">
        <f ca="1">IFERROR(__xludf.DUMMYFUNCTION("""COMPUTED_VALUE"""),12)</f>
        <v>12</v>
      </c>
      <c r="E218" s="19" t="str">
        <f ca="1">IFERROR(__xludf.DUMMYFUNCTION("""COMPUTED_VALUE"""),"Complete the end of unit assessment")</f>
        <v>Complete the end of unit assessment</v>
      </c>
      <c r="F218" s="30" t="b">
        <f ca="1">IFERROR(__xludf.DUMMYFUNCTION("""COMPUTED_VALUE"""),TRUE)</f>
        <v>1</v>
      </c>
      <c r="G218" s="26" t="b">
        <f ca="1">IFERROR(__xludf.DUMMYFUNCTION("""COMPUTED_VALUE"""),TRUE)</f>
        <v>1</v>
      </c>
      <c r="H218" s="27"/>
      <c r="I218" s="30" t="b">
        <f ca="1">IFERROR(__xludf.DUMMYFUNCTION("""COMPUTED_VALUE"""),TRUE)</f>
        <v>1</v>
      </c>
      <c r="J218" s="26"/>
      <c r="K218" s="26"/>
      <c r="L218" s="26"/>
      <c r="M218" s="26"/>
      <c r="N218" s="26"/>
      <c r="O218" s="26"/>
      <c r="P218" s="26"/>
      <c r="Q218" s="26" t="b">
        <f ca="1">IFERROR(__xludf.DUMMYFUNCTION("""COMPUTED_VALUE"""),TRUE)</f>
        <v>1</v>
      </c>
      <c r="R218" s="27"/>
      <c r="S218" s="28" t="s">
        <v>70</v>
      </c>
      <c r="T218" s="28"/>
      <c r="U218" s="28" t="s">
        <v>7</v>
      </c>
      <c r="V218" s="29" t="s">
        <v>95</v>
      </c>
      <c r="W218" s="67"/>
    </row>
    <row r="219" spans="1:23" ht="28">
      <c r="A219" s="17" t="str">
        <f ca="1">IFERROR(__xludf.DUMMYFUNCTION("""COMPUTED_VALUE"""),"GCSE")</f>
        <v>GCSE</v>
      </c>
      <c r="B219" s="17">
        <f ca="1">IFERROR(__xludf.DUMMYFUNCTION("""COMPUTED_VALUE"""),9)</f>
        <v>9</v>
      </c>
      <c r="C219" s="19" t="str">
        <f ca="1">IFERROR(__xludf.DUMMYFUNCTION("""COMPUTED_VALUE"""),"Algorithms part 2 - Searching and sorting")</f>
        <v>Algorithms part 2 - Searching and sorting</v>
      </c>
      <c r="D219" s="17">
        <f ca="1">IFERROR(__xludf.DUMMYFUNCTION("""COMPUTED_VALUE"""),12)</f>
        <v>12</v>
      </c>
      <c r="E219" s="19" t="str">
        <f ca="1">IFERROR(__xludf.DUMMYFUNCTION("""COMPUTED_VALUE"""),"Develop a linear search function in Python")</f>
        <v>Develop a linear search function in Python</v>
      </c>
      <c r="F219" s="30" t="b">
        <f ca="1">IFERROR(__xludf.DUMMYFUNCTION("""COMPUTED_VALUE"""),TRUE)</f>
        <v>1</v>
      </c>
      <c r="G219" s="26" t="b">
        <f ca="1">IFERROR(__xludf.DUMMYFUNCTION("""COMPUTED_VALUE"""),TRUE)</f>
        <v>1</v>
      </c>
      <c r="H219" s="27"/>
      <c r="I219" s="30" t="b">
        <f ca="1">IFERROR(__xludf.DUMMYFUNCTION("""COMPUTED_VALUE"""),TRUE)</f>
        <v>1</v>
      </c>
      <c r="J219" s="26"/>
      <c r="K219" s="26"/>
      <c r="L219" s="26"/>
      <c r="M219" s="26"/>
      <c r="N219" s="26"/>
      <c r="O219" s="26"/>
      <c r="P219" s="26"/>
      <c r="Q219" s="26" t="b">
        <f ca="1">IFERROR(__xludf.DUMMYFUNCTION("""COMPUTED_VALUE"""),TRUE)</f>
        <v>1</v>
      </c>
      <c r="R219" s="27"/>
      <c r="S219" s="31" t="s">
        <v>70</v>
      </c>
      <c r="T219" s="31" t="s">
        <v>96</v>
      </c>
      <c r="U219" s="31" t="s">
        <v>7</v>
      </c>
      <c r="V219" s="32" t="s">
        <v>95</v>
      </c>
      <c r="W219" s="67"/>
    </row>
    <row r="220" spans="1:23" ht="28">
      <c r="A220" s="17" t="str">
        <f ca="1">IFERROR(__xludf.DUMMYFUNCTION("""COMPUTED_VALUE"""),"GCSE")</f>
        <v>GCSE</v>
      </c>
      <c r="B220" s="17">
        <f ca="1">IFERROR(__xludf.DUMMYFUNCTION("""COMPUTED_VALUE"""),10)</f>
        <v>10</v>
      </c>
      <c r="C220" s="19" t="str">
        <f ca="1">IFERROR(__xludf.DUMMYFUNCTION("""COMPUTED_VALUE"""),"Programming part 6 - Dictionaries and data files")</f>
        <v>Programming part 6 - Dictionaries and data files</v>
      </c>
      <c r="D220" s="17">
        <f ca="1">IFERROR(__xludf.DUMMYFUNCTION("""COMPUTED_VALUE"""),36)</f>
        <v>36</v>
      </c>
      <c r="E220" s="19" t="str">
        <f ca="1">IFERROR(__xludf.DUMMYFUNCTION("""COMPUTED_VALUE"""),"Describe the record data structure")</f>
        <v>Describe the record data structure</v>
      </c>
      <c r="F220" s="30" t="b">
        <f ca="1">IFERROR(__xludf.DUMMYFUNCTION("""COMPUTED_VALUE"""),TRUE)</f>
        <v>1</v>
      </c>
      <c r="G220" s="26" t="b">
        <f ca="1">IFERROR(__xludf.DUMMYFUNCTION("""COMPUTED_VALUE"""),TRUE)</f>
        <v>1</v>
      </c>
      <c r="H220" s="27"/>
      <c r="I220" s="30"/>
      <c r="J220" s="26"/>
      <c r="K220" s="26"/>
      <c r="L220" s="26"/>
      <c r="M220" s="26" t="b">
        <f ca="1">IFERROR(__xludf.DUMMYFUNCTION("""COMPUTED_VALUE"""),TRUE)</f>
        <v>1</v>
      </c>
      <c r="N220" s="26"/>
      <c r="O220" s="26"/>
      <c r="P220" s="26"/>
      <c r="Q220" s="26" t="b">
        <f ca="1">IFERROR(__xludf.DUMMYFUNCTION("""COMPUTED_VALUE"""),TRUE)</f>
        <v>1</v>
      </c>
      <c r="R220" s="27"/>
      <c r="S220" s="28"/>
      <c r="T220" s="28"/>
      <c r="U220" s="28" t="s">
        <v>97</v>
      </c>
      <c r="V220" s="29" t="s">
        <v>95</v>
      </c>
      <c r="W220" s="67"/>
    </row>
    <row r="221" spans="1:23" ht="28">
      <c r="A221" s="17" t="str">
        <f ca="1">IFERROR(__xludf.DUMMYFUNCTION("""COMPUTED_VALUE"""),"GCSE")</f>
        <v>GCSE</v>
      </c>
      <c r="B221" s="17">
        <f ca="1">IFERROR(__xludf.DUMMYFUNCTION("""COMPUTED_VALUE"""),10)</f>
        <v>10</v>
      </c>
      <c r="C221" s="19" t="str">
        <f ca="1">IFERROR(__xludf.DUMMYFUNCTION("""COMPUTED_VALUE"""),"Programming part 6 - Dictionaries and data files")</f>
        <v>Programming part 6 - Dictionaries and data files</v>
      </c>
      <c r="D221" s="17">
        <f ca="1">IFERROR(__xludf.DUMMYFUNCTION("""COMPUTED_VALUE"""),36)</f>
        <v>36</v>
      </c>
      <c r="E221" s="19" t="str">
        <f ca="1">IFERROR(__xludf.DUMMYFUNCTION("""COMPUTED_VALUE"""),"Use a dictionary to represent a record in a program")</f>
        <v>Use a dictionary to represent a record in a program</v>
      </c>
      <c r="F221" s="30" t="b">
        <f ca="1">IFERROR(__xludf.DUMMYFUNCTION("""COMPUTED_VALUE"""),TRUE)</f>
        <v>1</v>
      </c>
      <c r="G221" s="26" t="b">
        <f ca="1">IFERROR(__xludf.DUMMYFUNCTION("""COMPUTED_VALUE"""),TRUE)</f>
        <v>1</v>
      </c>
      <c r="H221" s="27"/>
      <c r="I221" s="30"/>
      <c r="J221" s="26"/>
      <c r="K221" s="26"/>
      <c r="L221" s="26"/>
      <c r="M221" s="26" t="b">
        <f ca="1">IFERROR(__xludf.DUMMYFUNCTION("""COMPUTED_VALUE"""),TRUE)</f>
        <v>1</v>
      </c>
      <c r="N221" s="26"/>
      <c r="O221" s="26"/>
      <c r="P221" s="26"/>
      <c r="Q221" s="26" t="b">
        <f ca="1">IFERROR(__xludf.DUMMYFUNCTION("""COMPUTED_VALUE"""),TRUE)</f>
        <v>1</v>
      </c>
      <c r="R221" s="27"/>
      <c r="S221" s="28"/>
      <c r="T221" s="28"/>
      <c r="U221" s="28"/>
      <c r="V221" s="32" t="s">
        <v>95</v>
      </c>
      <c r="W221" s="67"/>
    </row>
    <row r="222" spans="1:23" ht="42">
      <c r="A222" s="17" t="str">
        <f ca="1">IFERROR(__xludf.DUMMYFUNCTION("""COMPUTED_VALUE"""),"GCSE")</f>
        <v>GCSE</v>
      </c>
      <c r="B222" s="17">
        <f ca="1">IFERROR(__xludf.DUMMYFUNCTION("""COMPUTED_VALUE"""),10)</f>
        <v>10</v>
      </c>
      <c r="C222" s="19" t="str">
        <f ca="1">IFERROR(__xludf.DUMMYFUNCTION("""COMPUTED_VALUE"""),"Programming part 6 - Dictionaries and data files")</f>
        <v>Programming part 6 - Dictionaries and data files</v>
      </c>
      <c r="D222" s="17">
        <f ca="1">IFERROR(__xludf.DUMMYFUNCTION("""COMPUTED_VALUE"""),36)</f>
        <v>36</v>
      </c>
      <c r="E222" s="19" t="str">
        <f ca="1">IFERROR(__xludf.DUMMYFUNCTION("""COMPUTED_VALUE"""),"Use a dictionary with a list to represent records in a database")</f>
        <v>Use a dictionary with a list to represent records in a database</v>
      </c>
      <c r="F222" s="30" t="b">
        <f ca="1">IFERROR(__xludf.DUMMYFUNCTION("""COMPUTED_VALUE"""),TRUE)</f>
        <v>1</v>
      </c>
      <c r="G222" s="26" t="b">
        <f ca="1">IFERROR(__xludf.DUMMYFUNCTION("""COMPUTED_VALUE"""),TRUE)</f>
        <v>1</v>
      </c>
      <c r="H222" s="27"/>
      <c r="I222" s="30"/>
      <c r="J222" s="26"/>
      <c r="K222" s="26"/>
      <c r="L222" s="26"/>
      <c r="M222" s="26" t="b">
        <f ca="1">IFERROR(__xludf.DUMMYFUNCTION("""COMPUTED_VALUE"""),TRUE)</f>
        <v>1</v>
      </c>
      <c r="N222" s="26"/>
      <c r="O222" s="26"/>
      <c r="P222" s="26"/>
      <c r="Q222" s="26" t="b">
        <f ca="1">IFERROR(__xludf.DUMMYFUNCTION("""COMPUTED_VALUE"""),TRUE)</f>
        <v>1</v>
      </c>
      <c r="R222" s="27"/>
      <c r="S222" s="28" t="s">
        <v>93</v>
      </c>
      <c r="T222" s="28" t="s">
        <v>98</v>
      </c>
      <c r="U222" s="28"/>
      <c r="V222" s="29"/>
      <c r="W222" s="67"/>
    </row>
    <row r="223" spans="1:23" ht="28">
      <c r="A223" s="17" t="str">
        <f ca="1">IFERROR(__xludf.DUMMYFUNCTION("""COMPUTED_VALUE"""),"GCSE")</f>
        <v>GCSE</v>
      </c>
      <c r="B223" s="17">
        <f ca="1">IFERROR(__xludf.DUMMYFUNCTION("""COMPUTED_VALUE"""),10)</f>
        <v>10</v>
      </c>
      <c r="C223" s="19" t="str">
        <f ca="1">IFERROR(__xludf.DUMMYFUNCTION("""COMPUTED_VALUE"""),"Programming part 6 - Dictionaries and data files")</f>
        <v>Programming part 6 - Dictionaries and data files</v>
      </c>
      <c r="D223" s="17">
        <f ca="1">IFERROR(__xludf.DUMMYFUNCTION("""COMPUTED_VALUE"""),37)</f>
        <v>37</v>
      </c>
      <c r="E223" s="19" t="str">
        <f ca="1">IFERROR(__xludf.DUMMYFUNCTION("""COMPUTED_VALUE"""),"Describe the dictionary data structure")</f>
        <v>Describe the dictionary data structure</v>
      </c>
      <c r="F223" s="30" t="b">
        <f ca="1">IFERROR(__xludf.DUMMYFUNCTION("""COMPUTED_VALUE"""),TRUE)</f>
        <v>1</v>
      </c>
      <c r="G223" s="26" t="b">
        <f ca="1">IFERROR(__xludf.DUMMYFUNCTION("""COMPUTED_VALUE"""),TRUE)</f>
        <v>1</v>
      </c>
      <c r="H223" s="27"/>
      <c r="I223" s="30"/>
      <c r="J223" s="26"/>
      <c r="K223" s="26"/>
      <c r="L223" s="26"/>
      <c r="M223" s="26" t="b">
        <f ca="1">IFERROR(__xludf.DUMMYFUNCTION("""COMPUTED_VALUE"""),TRUE)</f>
        <v>1</v>
      </c>
      <c r="N223" s="26"/>
      <c r="O223" s="26"/>
      <c r="P223" s="26"/>
      <c r="Q223" s="26" t="b">
        <f ca="1">IFERROR(__xludf.DUMMYFUNCTION("""COMPUTED_VALUE"""),TRUE)</f>
        <v>1</v>
      </c>
      <c r="R223" s="27"/>
      <c r="S223" s="28" t="s">
        <v>93</v>
      </c>
      <c r="T223" s="28"/>
      <c r="U223" s="28"/>
      <c r="V223" s="29"/>
      <c r="W223" s="67"/>
    </row>
    <row r="224" spans="1:23" ht="28">
      <c r="A224" s="17" t="str">
        <f ca="1">IFERROR(__xludf.DUMMYFUNCTION("""COMPUTED_VALUE"""),"GCSE")</f>
        <v>GCSE</v>
      </c>
      <c r="B224" s="17">
        <f ca="1">IFERROR(__xludf.DUMMYFUNCTION("""COMPUTED_VALUE"""),10)</f>
        <v>10</v>
      </c>
      <c r="C224" s="19" t="str">
        <f ca="1">IFERROR(__xludf.DUMMYFUNCTION("""COMPUTED_VALUE"""),"Programming part 6 - Dictionaries and data files")</f>
        <v>Programming part 6 - Dictionaries and data files</v>
      </c>
      <c r="D224" s="17">
        <f ca="1">IFERROR(__xludf.DUMMYFUNCTION("""COMPUTED_VALUE"""),37)</f>
        <v>37</v>
      </c>
      <c r="E224" s="19" t="str">
        <f ca="1">IFERROR(__xludf.DUMMYFUNCTION("""COMPUTED_VALUE"""),"Use a dictionary to produce key-value pairs")</f>
        <v>Use a dictionary to produce key-value pairs</v>
      </c>
      <c r="F224" s="30" t="b">
        <f ca="1">IFERROR(__xludf.DUMMYFUNCTION("""COMPUTED_VALUE"""),TRUE)</f>
        <v>1</v>
      </c>
      <c r="G224" s="26" t="b">
        <f ca="1">IFERROR(__xludf.DUMMYFUNCTION("""COMPUTED_VALUE"""),TRUE)</f>
        <v>1</v>
      </c>
      <c r="H224" s="27"/>
      <c r="I224" s="30"/>
      <c r="J224" s="26"/>
      <c r="K224" s="26"/>
      <c r="L224" s="26"/>
      <c r="M224" s="26"/>
      <c r="N224" s="26"/>
      <c r="O224" s="26"/>
      <c r="P224" s="26"/>
      <c r="Q224" s="26" t="b">
        <f ca="1">IFERROR(__xludf.DUMMYFUNCTION("""COMPUTED_VALUE"""),TRUE)</f>
        <v>1</v>
      </c>
      <c r="R224" s="27"/>
      <c r="S224" s="31" t="s">
        <v>99</v>
      </c>
      <c r="T224" s="28"/>
      <c r="U224" s="28"/>
      <c r="V224" s="29"/>
      <c r="W224" s="67"/>
    </row>
    <row r="225" spans="1:23" ht="28">
      <c r="A225" s="17" t="str">
        <f ca="1">IFERROR(__xludf.DUMMYFUNCTION("""COMPUTED_VALUE"""),"GCSE")</f>
        <v>GCSE</v>
      </c>
      <c r="B225" s="17">
        <f ca="1">IFERROR(__xludf.DUMMYFUNCTION("""COMPUTED_VALUE"""),10)</f>
        <v>10</v>
      </c>
      <c r="C225" s="19" t="str">
        <f ca="1">IFERROR(__xludf.DUMMYFUNCTION("""COMPUTED_VALUE"""),"Programming part 6 - Dictionaries and data files")</f>
        <v>Programming part 6 - Dictionaries and data files</v>
      </c>
      <c r="D225" s="17">
        <f ca="1">IFERROR(__xludf.DUMMYFUNCTION("""COMPUTED_VALUE"""),38)</f>
        <v>38</v>
      </c>
      <c r="E225" s="19" t="str">
        <f ca="1">IFERROR(__xludf.DUMMYFUNCTION("""COMPUTED_VALUE"""),"Determine the purpose of external data files")</f>
        <v>Determine the purpose of external data files</v>
      </c>
      <c r="F225" s="30" t="b">
        <f ca="1">IFERROR(__xludf.DUMMYFUNCTION("""COMPUTED_VALUE"""),TRUE)</f>
        <v>1</v>
      </c>
      <c r="G225" s="26" t="b">
        <f ca="1">IFERROR(__xludf.DUMMYFUNCTION("""COMPUTED_VALUE"""),TRUE)</f>
        <v>1</v>
      </c>
      <c r="H225" s="27"/>
      <c r="I225" s="30"/>
      <c r="J225" s="26"/>
      <c r="K225" s="26" t="b">
        <f ca="1">IFERROR(__xludf.DUMMYFUNCTION("""COMPUTED_VALUE"""),TRUE)</f>
        <v>1</v>
      </c>
      <c r="L225" s="26"/>
      <c r="M225" s="26" t="b">
        <f ca="1">IFERROR(__xludf.DUMMYFUNCTION("""COMPUTED_VALUE"""),TRUE)</f>
        <v>1</v>
      </c>
      <c r="N225" s="26"/>
      <c r="O225" s="26"/>
      <c r="P225" s="26"/>
      <c r="Q225" s="26" t="b">
        <f ca="1">IFERROR(__xludf.DUMMYFUNCTION("""COMPUTED_VALUE"""),TRUE)</f>
        <v>1</v>
      </c>
      <c r="R225" s="27"/>
      <c r="S225" s="28" t="s">
        <v>93</v>
      </c>
      <c r="T225" s="28"/>
      <c r="U225" s="28"/>
      <c r="V225" s="29"/>
      <c r="W225" s="67"/>
    </row>
    <row r="226" spans="1:23" ht="28">
      <c r="A226" s="17" t="str">
        <f ca="1">IFERROR(__xludf.DUMMYFUNCTION("""COMPUTED_VALUE"""),"GCSE")</f>
        <v>GCSE</v>
      </c>
      <c r="B226" s="17">
        <f ca="1">IFERROR(__xludf.DUMMYFUNCTION("""COMPUTED_VALUE"""),10)</f>
        <v>10</v>
      </c>
      <c r="C226" s="19" t="str">
        <f ca="1">IFERROR(__xludf.DUMMYFUNCTION("""COMPUTED_VALUE"""),"Programming part 6 - Dictionaries and data files")</f>
        <v>Programming part 6 - Dictionaries and data files</v>
      </c>
      <c r="D226" s="17">
        <f ca="1">IFERROR(__xludf.DUMMYFUNCTION("""COMPUTED_VALUE"""),38)</f>
        <v>38</v>
      </c>
      <c r="E226" s="19" t="str">
        <f ca="1">IFERROR(__xludf.DUMMYFUNCTION("""COMPUTED_VALUE"""),"Read data from an external text file")</f>
        <v>Read data from an external text file</v>
      </c>
      <c r="F226" s="30" t="b">
        <f ca="1">IFERROR(__xludf.DUMMYFUNCTION("""COMPUTED_VALUE"""),TRUE)</f>
        <v>1</v>
      </c>
      <c r="G226" s="26" t="b">
        <f ca="1">IFERROR(__xludf.DUMMYFUNCTION("""COMPUTED_VALUE"""),TRUE)</f>
        <v>1</v>
      </c>
      <c r="H226" s="27"/>
      <c r="I226" s="30"/>
      <c r="J226" s="26"/>
      <c r="K226" s="26" t="b">
        <f ca="1">IFERROR(__xludf.DUMMYFUNCTION("""COMPUTED_VALUE"""),TRUE)</f>
        <v>1</v>
      </c>
      <c r="L226" s="26"/>
      <c r="M226" s="26" t="b">
        <f ca="1">IFERROR(__xludf.DUMMYFUNCTION("""COMPUTED_VALUE"""),TRUE)</f>
        <v>1</v>
      </c>
      <c r="N226" s="26"/>
      <c r="O226" s="26"/>
      <c r="P226" s="26"/>
      <c r="Q226" s="26" t="b">
        <f ca="1">IFERROR(__xludf.DUMMYFUNCTION("""COMPUTED_VALUE"""),TRUE)</f>
        <v>1</v>
      </c>
      <c r="R226" s="27"/>
      <c r="S226" s="28" t="s">
        <v>93</v>
      </c>
      <c r="T226" s="28"/>
      <c r="U226" s="28"/>
      <c r="V226" s="29"/>
      <c r="W226" s="67"/>
    </row>
    <row r="227" spans="1:23" ht="28">
      <c r="A227" s="17" t="str">
        <f ca="1">IFERROR(__xludf.DUMMYFUNCTION("""COMPUTED_VALUE"""),"GCSE")</f>
        <v>GCSE</v>
      </c>
      <c r="B227" s="17">
        <f ca="1">IFERROR(__xludf.DUMMYFUNCTION("""COMPUTED_VALUE"""),10)</f>
        <v>10</v>
      </c>
      <c r="C227" s="19" t="str">
        <f ca="1">IFERROR(__xludf.DUMMYFUNCTION("""COMPUTED_VALUE"""),"Programming part 6 - Dictionaries and data files")</f>
        <v>Programming part 6 - Dictionaries and data files</v>
      </c>
      <c r="D227" s="17">
        <f ca="1">IFERROR(__xludf.DUMMYFUNCTION("""COMPUTED_VALUE"""),39)</f>
        <v>39</v>
      </c>
      <c r="E227" s="19" t="str">
        <f ca="1">IFERROR(__xludf.DUMMYFUNCTION("""COMPUTED_VALUE"""),"Append to text files")</f>
        <v>Append to text files</v>
      </c>
      <c r="F227" s="30" t="b">
        <f ca="1">IFERROR(__xludf.DUMMYFUNCTION("""COMPUTED_VALUE"""),TRUE)</f>
        <v>1</v>
      </c>
      <c r="G227" s="26" t="b">
        <f ca="1">IFERROR(__xludf.DUMMYFUNCTION("""COMPUTED_VALUE"""),TRUE)</f>
        <v>1</v>
      </c>
      <c r="H227" s="27"/>
      <c r="I227" s="30"/>
      <c r="J227" s="26"/>
      <c r="K227" s="26" t="b">
        <f ca="1">IFERROR(__xludf.DUMMYFUNCTION("""COMPUTED_VALUE"""),TRUE)</f>
        <v>1</v>
      </c>
      <c r="L227" s="26"/>
      <c r="M227" s="26" t="b">
        <f ca="1">IFERROR(__xludf.DUMMYFUNCTION("""COMPUTED_VALUE"""),TRUE)</f>
        <v>1</v>
      </c>
      <c r="N227" s="26"/>
      <c r="O227" s="26"/>
      <c r="P227" s="26"/>
      <c r="Q227" s="26" t="b">
        <f ca="1">IFERROR(__xludf.DUMMYFUNCTION("""COMPUTED_VALUE"""),TRUE)</f>
        <v>1</v>
      </c>
      <c r="R227" s="27"/>
      <c r="S227" s="28" t="s">
        <v>93</v>
      </c>
      <c r="T227" s="28" t="s">
        <v>88</v>
      </c>
      <c r="U227" s="28"/>
      <c r="V227" s="29"/>
      <c r="W227" s="67"/>
    </row>
    <row r="228" spans="1:23" ht="28">
      <c r="A228" s="17" t="str">
        <f ca="1">IFERROR(__xludf.DUMMYFUNCTION("""COMPUTED_VALUE"""),"GCSE")</f>
        <v>GCSE</v>
      </c>
      <c r="B228" s="17">
        <f ca="1">IFERROR(__xludf.DUMMYFUNCTION("""COMPUTED_VALUE"""),10)</f>
        <v>10</v>
      </c>
      <c r="C228" s="19" t="str">
        <f ca="1">IFERROR(__xludf.DUMMYFUNCTION("""COMPUTED_VALUE"""),"Programming part 6 - Dictionaries and data files")</f>
        <v>Programming part 6 - Dictionaries and data files</v>
      </c>
      <c r="D228" s="17">
        <f ca="1">IFERROR(__xludf.DUMMYFUNCTION("""COMPUTED_VALUE"""),39)</f>
        <v>39</v>
      </c>
      <c r="E228" s="19" t="str">
        <f ca="1">IFERROR(__xludf.DUMMYFUNCTION("""COMPUTED_VALUE"""),"Write to text files")</f>
        <v>Write to text files</v>
      </c>
      <c r="F228" s="30" t="b">
        <f ca="1">IFERROR(__xludf.DUMMYFUNCTION("""COMPUTED_VALUE"""),TRUE)</f>
        <v>1</v>
      </c>
      <c r="G228" s="26" t="b">
        <f ca="1">IFERROR(__xludf.DUMMYFUNCTION("""COMPUTED_VALUE"""),TRUE)</f>
        <v>1</v>
      </c>
      <c r="H228" s="27"/>
      <c r="I228" s="30"/>
      <c r="J228" s="26"/>
      <c r="K228" s="26" t="b">
        <f ca="1">IFERROR(__xludf.DUMMYFUNCTION("""COMPUTED_VALUE"""),TRUE)</f>
        <v>1</v>
      </c>
      <c r="L228" s="26"/>
      <c r="M228" s="26" t="b">
        <f ca="1">IFERROR(__xludf.DUMMYFUNCTION("""COMPUTED_VALUE"""),TRUE)</f>
        <v>1</v>
      </c>
      <c r="N228" s="26"/>
      <c r="O228" s="26"/>
      <c r="P228" s="26"/>
      <c r="Q228" s="26" t="b">
        <f ca="1">IFERROR(__xludf.DUMMYFUNCTION("""COMPUTED_VALUE"""),TRUE)</f>
        <v>1</v>
      </c>
      <c r="R228" s="27"/>
      <c r="S228" s="28" t="s">
        <v>93</v>
      </c>
      <c r="T228" s="28" t="s">
        <v>88</v>
      </c>
      <c r="U228" s="28"/>
      <c r="V228" s="29"/>
      <c r="W228" s="67"/>
    </row>
    <row r="229" spans="1:23" ht="28">
      <c r="A229" s="17" t="str">
        <f ca="1">IFERROR(__xludf.DUMMYFUNCTION("""COMPUTED_VALUE"""),"GCSE")</f>
        <v>GCSE</v>
      </c>
      <c r="B229" s="17">
        <f ca="1">IFERROR(__xludf.DUMMYFUNCTION("""COMPUTED_VALUE"""),10)</f>
        <v>10</v>
      </c>
      <c r="C229" s="19" t="str">
        <f ca="1">IFERROR(__xludf.DUMMYFUNCTION("""COMPUTED_VALUE"""),"Programming part 6 - Dictionaries and data files")</f>
        <v>Programming part 6 - Dictionaries and data files</v>
      </c>
      <c r="D229" s="17">
        <f ca="1">IFERROR(__xludf.DUMMYFUNCTION("""COMPUTED_VALUE"""),40)</f>
        <v>40</v>
      </c>
      <c r="E229" s="19" t="str">
        <f ca="1">IFERROR(__xludf.DUMMYFUNCTION("""COMPUTED_VALUE"""),"Describe a CSV file")</f>
        <v>Describe a CSV file</v>
      </c>
      <c r="F229" s="30" t="b">
        <f ca="1">IFERROR(__xludf.DUMMYFUNCTION("""COMPUTED_VALUE"""),TRUE)</f>
        <v>1</v>
      </c>
      <c r="G229" s="26" t="b">
        <f ca="1">IFERROR(__xludf.DUMMYFUNCTION("""COMPUTED_VALUE"""),TRUE)</f>
        <v>1</v>
      </c>
      <c r="H229" s="27"/>
      <c r="I229" s="30"/>
      <c r="J229" s="26"/>
      <c r="K229" s="26"/>
      <c r="L229" s="26"/>
      <c r="M229" s="26" t="b">
        <f ca="1">IFERROR(__xludf.DUMMYFUNCTION("""COMPUTED_VALUE"""),TRUE)</f>
        <v>1</v>
      </c>
      <c r="N229" s="26"/>
      <c r="O229" s="26"/>
      <c r="P229" s="26"/>
      <c r="Q229" s="26" t="b">
        <f ca="1">IFERROR(__xludf.DUMMYFUNCTION("""COMPUTED_VALUE"""),TRUE)</f>
        <v>1</v>
      </c>
      <c r="R229" s="27"/>
      <c r="S229" s="28" t="s">
        <v>28</v>
      </c>
      <c r="T229" s="28"/>
      <c r="U229" s="28"/>
      <c r="V229" s="29"/>
      <c r="W229" s="67"/>
    </row>
    <row r="230" spans="1:23" ht="28">
      <c r="A230" s="17" t="str">
        <f ca="1">IFERROR(__xludf.DUMMYFUNCTION("""COMPUTED_VALUE"""),"GCSE")</f>
        <v>GCSE</v>
      </c>
      <c r="B230" s="17">
        <f ca="1">IFERROR(__xludf.DUMMYFUNCTION("""COMPUTED_VALUE"""),10)</f>
        <v>10</v>
      </c>
      <c r="C230" s="19" t="str">
        <f ca="1">IFERROR(__xludf.DUMMYFUNCTION("""COMPUTED_VALUE"""),"Programming part 6 - Dictionaries and data files")</f>
        <v>Programming part 6 - Dictionaries and data files</v>
      </c>
      <c r="D230" s="17">
        <f ca="1">IFERROR(__xludf.DUMMYFUNCTION("""COMPUTED_VALUE"""),40)</f>
        <v>40</v>
      </c>
      <c r="E230" s="19" t="str">
        <f ca="1">IFERROR(__xludf.DUMMYFUNCTION("""COMPUTED_VALUE"""),"Read from a CSV file")</f>
        <v>Read from a CSV file</v>
      </c>
      <c r="F230" s="30" t="b">
        <f ca="1">IFERROR(__xludf.DUMMYFUNCTION("""COMPUTED_VALUE"""),TRUE)</f>
        <v>1</v>
      </c>
      <c r="G230" s="26" t="b">
        <f ca="1">IFERROR(__xludf.DUMMYFUNCTION("""COMPUTED_VALUE"""),TRUE)</f>
        <v>1</v>
      </c>
      <c r="H230" s="27"/>
      <c r="I230" s="30"/>
      <c r="J230" s="26"/>
      <c r="K230" s="26" t="b">
        <f ca="1">IFERROR(__xludf.DUMMYFUNCTION("""COMPUTED_VALUE"""),TRUE)</f>
        <v>1</v>
      </c>
      <c r="L230" s="26"/>
      <c r="M230" s="26" t="b">
        <f ca="1">IFERROR(__xludf.DUMMYFUNCTION("""COMPUTED_VALUE"""),TRUE)</f>
        <v>1</v>
      </c>
      <c r="N230" s="26"/>
      <c r="O230" s="26"/>
      <c r="P230" s="26"/>
      <c r="Q230" s="26" t="b">
        <f ca="1">IFERROR(__xludf.DUMMYFUNCTION("""COMPUTED_VALUE"""),TRUE)</f>
        <v>1</v>
      </c>
      <c r="R230" s="27"/>
      <c r="S230" s="31"/>
      <c r="T230" s="31"/>
      <c r="U230" s="31"/>
      <c r="V230" s="32"/>
      <c r="W230" s="67"/>
    </row>
    <row r="231" spans="1:23" ht="28">
      <c r="A231" s="17" t="str">
        <f ca="1">IFERROR(__xludf.DUMMYFUNCTION("""COMPUTED_VALUE"""),"GCSE")</f>
        <v>GCSE</v>
      </c>
      <c r="B231" s="17">
        <f ca="1">IFERROR(__xludf.DUMMYFUNCTION("""COMPUTED_VALUE"""),10)</f>
        <v>10</v>
      </c>
      <c r="C231" s="19" t="str">
        <f ca="1">IFERROR(__xludf.DUMMYFUNCTION("""COMPUTED_VALUE"""),"Programming part 6 - Dictionaries and data files")</f>
        <v>Programming part 6 - Dictionaries and data files</v>
      </c>
      <c r="D231" s="17">
        <f ca="1">IFERROR(__xludf.DUMMYFUNCTION("""COMPUTED_VALUE"""),40)</f>
        <v>40</v>
      </c>
      <c r="E231" s="19" t="str">
        <f ca="1">IFERROR(__xludf.DUMMYFUNCTION("""COMPUTED_VALUE"""),"Select data from a collection of values")</f>
        <v>Select data from a collection of values</v>
      </c>
      <c r="F231" s="30" t="b">
        <f ca="1">IFERROR(__xludf.DUMMYFUNCTION("""COMPUTED_VALUE"""),TRUE)</f>
        <v>1</v>
      </c>
      <c r="G231" s="26" t="b">
        <f ca="1">IFERROR(__xludf.DUMMYFUNCTION("""COMPUTED_VALUE"""),TRUE)</f>
        <v>1</v>
      </c>
      <c r="H231" s="27"/>
      <c r="I231" s="30"/>
      <c r="J231" s="26"/>
      <c r="K231" s="26"/>
      <c r="L231" s="26"/>
      <c r="M231" s="26" t="b">
        <f ca="1">IFERROR(__xludf.DUMMYFUNCTION("""COMPUTED_VALUE"""),TRUE)</f>
        <v>1</v>
      </c>
      <c r="N231" s="26"/>
      <c r="O231" s="26"/>
      <c r="P231" s="26"/>
      <c r="Q231" s="26" t="b">
        <f ca="1">IFERROR(__xludf.DUMMYFUNCTION("""COMPUTED_VALUE"""),TRUE)</f>
        <v>1</v>
      </c>
      <c r="R231" s="27"/>
      <c r="S231" s="31" t="s">
        <v>99</v>
      </c>
      <c r="T231" s="31"/>
      <c r="U231" s="31"/>
      <c r="V231" s="32"/>
      <c r="W231" s="67"/>
    </row>
    <row r="232" spans="1:23" ht="28">
      <c r="A232" s="17" t="str">
        <f ca="1">IFERROR(__xludf.DUMMYFUNCTION("""COMPUTED_VALUE"""),"GCSE")</f>
        <v>GCSE</v>
      </c>
      <c r="B232" s="17">
        <f ca="1">IFERROR(__xludf.DUMMYFUNCTION("""COMPUTED_VALUE"""),10)</f>
        <v>10</v>
      </c>
      <c r="C232" s="19" t="str">
        <f ca="1">IFERROR(__xludf.DUMMYFUNCTION("""COMPUTED_VALUE"""),"Programming part 6 - Dictionaries and data files")</f>
        <v>Programming part 6 - Dictionaries and data files</v>
      </c>
      <c r="D232" s="17">
        <f ca="1">IFERROR(__xludf.DUMMYFUNCTION("""COMPUTED_VALUE"""),40)</f>
        <v>40</v>
      </c>
      <c r="E232" s="19" t="str">
        <f ca="1">IFERROR(__xludf.DUMMYFUNCTION("""COMPUTED_VALUE"""),"Use the split() method")</f>
        <v>Use the split() method</v>
      </c>
      <c r="F232" s="30" t="b">
        <f ca="1">IFERROR(__xludf.DUMMYFUNCTION("""COMPUTED_VALUE"""),TRUE)</f>
        <v>1</v>
      </c>
      <c r="G232" s="26" t="b">
        <f ca="1">IFERROR(__xludf.DUMMYFUNCTION("""COMPUTED_VALUE"""),TRUE)</f>
        <v>1</v>
      </c>
      <c r="H232" s="27"/>
      <c r="I232" s="30"/>
      <c r="J232" s="26"/>
      <c r="K232" s="26"/>
      <c r="L232" s="26"/>
      <c r="M232" s="26"/>
      <c r="N232" s="26"/>
      <c r="O232" s="26"/>
      <c r="P232" s="26"/>
      <c r="Q232" s="26" t="b">
        <f ca="1">IFERROR(__xludf.DUMMYFUNCTION("""COMPUTED_VALUE"""),TRUE)</f>
        <v>1</v>
      </c>
      <c r="R232" s="27"/>
      <c r="S232" s="31" t="s">
        <v>99</v>
      </c>
      <c r="T232" s="28" t="s">
        <v>88</v>
      </c>
      <c r="U232" s="28"/>
      <c r="V232" s="29"/>
      <c r="W232" s="67"/>
    </row>
    <row r="233" spans="1:23" ht="28">
      <c r="A233" s="17" t="str">
        <f ca="1">IFERROR(__xludf.DUMMYFUNCTION("""COMPUTED_VALUE"""),"GCSE")</f>
        <v>GCSE</v>
      </c>
      <c r="B233" s="17">
        <f ca="1">IFERROR(__xludf.DUMMYFUNCTION("""COMPUTED_VALUE"""),10)</f>
        <v>10</v>
      </c>
      <c r="C233" s="19" t="str">
        <f ca="1">IFERROR(__xludf.DUMMYFUNCTION("""COMPUTED_VALUE"""),"Programming part 6 - Dictionaries and data files")</f>
        <v>Programming part 6 - Dictionaries and data files</v>
      </c>
      <c r="D233" s="17">
        <f ca="1">IFERROR(__xludf.DUMMYFUNCTION("""COMPUTED_VALUE"""),41)</f>
        <v>41</v>
      </c>
      <c r="E233" s="19" t="str">
        <f ca="1">IFERROR(__xludf.DUMMYFUNCTION("""COMPUTED_VALUE"""),"Write data from a 1D list to a CSV file")</f>
        <v>Write data from a 1D list to a CSV file</v>
      </c>
      <c r="F233" s="30" t="b">
        <f ca="1">IFERROR(__xludf.DUMMYFUNCTION("""COMPUTED_VALUE"""),TRUE)</f>
        <v>1</v>
      </c>
      <c r="G233" s="26" t="b">
        <f ca="1">IFERROR(__xludf.DUMMYFUNCTION("""COMPUTED_VALUE"""),TRUE)</f>
        <v>1</v>
      </c>
      <c r="H233" s="27"/>
      <c r="I233" s="30"/>
      <c r="J233" s="26"/>
      <c r="K233" s="26" t="b">
        <f ca="1">IFERROR(__xludf.DUMMYFUNCTION("""COMPUTED_VALUE"""),TRUE)</f>
        <v>1</v>
      </c>
      <c r="L233" s="26"/>
      <c r="M233" s="26" t="b">
        <f ca="1">IFERROR(__xludf.DUMMYFUNCTION("""COMPUTED_VALUE"""),TRUE)</f>
        <v>1</v>
      </c>
      <c r="N233" s="26"/>
      <c r="O233" s="26"/>
      <c r="P233" s="26"/>
      <c r="Q233" s="26" t="b">
        <f ca="1">IFERROR(__xludf.DUMMYFUNCTION("""COMPUTED_VALUE"""),TRUE)</f>
        <v>1</v>
      </c>
      <c r="R233" s="27"/>
      <c r="S233" s="31" t="s">
        <v>99</v>
      </c>
      <c r="T233" s="28" t="s">
        <v>88</v>
      </c>
      <c r="U233" s="28"/>
      <c r="V233" s="29"/>
      <c r="W233" s="67"/>
    </row>
    <row r="234" spans="1:23" ht="28">
      <c r="A234" s="17" t="str">
        <f ca="1">IFERROR(__xludf.DUMMYFUNCTION("""COMPUTED_VALUE"""),"GCSE")</f>
        <v>GCSE</v>
      </c>
      <c r="B234" s="17">
        <f ca="1">IFERROR(__xludf.DUMMYFUNCTION("""COMPUTED_VALUE"""),10)</f>
        <v>10</v>
      </c>
      <c r="C234" s="19" t="str">
        <f ca="1">IFERROR(__xludf.DUMMYFUNCTION("""COMPUTED_VALUE"""),"Programming part 6 - Dictionaries and data files")</f>
        <v>Programming part 6 - Dictionaries and data files</v>
      </c>
      <c r="D234" s="17">
        <f ca="1">IFERROR(__xludf.DUMMYFUNCTION("""COMPUTED_VALUE"""),41)</f>
        <v>41</v>
      </c>
      <c r="E234" s="19" t="str">
        <f ca="1">IFERROR(__xludf.DUMMYFUNCTION("""COMPUTED_VALUE"""),"Write data from a 2D list to a CSV file")</f>
        <v>Write data from a 2D list to a CSV file</v>
      </c>
      <c r="F234" s="30" t="b">
        <f ca="1">IFERROR(__xludf.DUMMYFUNCTION("""COMPUTED_VALUE"""),TRUE)</f>
        <v>1</v>
      </c>
      <c r="G234" s="26" t="b">
        <f ca="1">IFERROR(__xludf.DUMMYFUNCTION("""COMPUTED_VALUE"""),TRUE)</f>
        <v>1</v>
      </c>
      <c r="H234" s="27"/>
      <c r="I234" s="30"/>
      <c r="J234" s="26"/>
      <c r="K234" s="26" t="b">
        <f ca="1">IFERROR(__xludf.DUMMYFUNCTION("""COMPUTED_VALUE"""),TRUE)</f>
        <v>1</v>
      </c>
      <c r="L234" s="26"/>
      <c r="M234" s="26" t="b">
        <f ca="1">IFERROR(__xludf.DUMMYFUNCTION("""COMPUTED_VALUE"""),TRUE)</f>
        <v>1</v>
      </c>
      <c r="N234" s="26"/>
      <c r="O234" s="26"/>
      <c r="P234" s="26"/>
      <c r="Q234" s="26" t="b">
        <f ca="1">IFERROR(__xludf.DUMMYFUNCTION("""COMPUTED_VALUE"""),TRUE)</f>
        <v>1</v>
      </c>
      <c r="R234" s="27"/>
      <c r="S234" s="28"/>
      <c r="T234" s="28"/>
      <c r="U234" s="28"/>
      <c r="V234" s="29"/>
      <c r="W234" s="67"/>
    </row>
    <row r="235" spans="1:23" ht="28">
      <c r="A235" s="17" t="str">
        <f ca="1">IFERROR(__xludf.DUMMYFUNCTION("""COMPUTED_VALUE"""),"GCSE")</f>
        <v>GCSE</v>
      </c>
      <c r="B235" s="17">
        <f ca="1">IFERROR(__xludf.DUMMYFUNCTION("""COMPUTED_VALUE"""),10)</f>
        <v>10</v>
      </c>
      <c r="C235" s="19" t="str">
        <f ca="1">IFERROR(__xludf.DUMMYFUNCTION("""COMPUTED_VALUE"""),"Programming part 6 - Dictionaries and data files")</f>
        <v>Programming part 6 - Dictionaries and data files</v>
      </c>
      <c r="D235" s="17">
        <f ca="1">IFERROR(__xludf.DUMMYFUNCTION("""COMPUTED_VALUE"""),42)</f>
        <v>42</v>
      </c>
      <c r="E235" s="19" t="str">
        <f ca="1">IFERROR(__xludf.DUMMYFUNCTION("""COMPUTED_VALUE"""),"Append to a CSV file")</f>
        <v>Append to a CSV file</v>
      </c>
      <c r="F235" s="30" t="b">
        <f ca="1">IFERROR(__xludf.DUMMYFUNCTION("""COMPUTED_VALUE"""),TRUE)</f>
        <v>1</v>
      </c>
      <c r="G235" s="26" t="b">
        <f ca="1">IFERROR(__xludf.DUMMYFUNCTION("""COMPUTED_VALUE"""),TRUE)</f>
        <v>1</v>
      </c>
      <c r="H235" s="27"/>
      <c r="I235" s="30"/>
      <c r="J235" s="26"/>
      <c r="K235" s="26" t="b">
        <f ca="1">IFERROR(__xludf.DUMMYFUNCTION("""COMPUTED_VALUE"""),TRUE)</f>
        <v>1</v>
      </c>
      <c r="L235" s="26"/>
      <c r="M235" s="26" t="b">
        <f ca="1">IFERROR(__xludf.DUMMYFUNCTION("""COMPUTED_VALUE"""),TRUE)</f>
        <v>1</v>
      </c>
      <c r="N235" s="26"/>
      <c r="O235" s="26"/>
      <c r="P235" s="26"/>
      <c r="Q235" s="26" t="b">
        <f ca="1">IFERROR(__xludf.DUMMYFUNCTION("""COMPUTED_VALUE"""),TRUE)</f>
        <v>1</v>
      </c>
      <c r="R235" s="27"/>
      <c r="S235" s="31"/>
      <c r="T235" s="31"/>
      <c r="U235" s="31"/>
      <c r="V235" s="32"/>
      <c r="W235" s="67"/>
    </row>
    <row r="236" spans="1:23" ht="28">
      <c r="A236" s="17" t="str">
        <f ca="1">IFERROR(__xludf.DUMMYFUNCTION("""COMPUTED_VALUE"""),"GCSE")</f>
        <v>GCSE</v>
      </c>
      <c r="B236" s="17">
        <f ca="1">IFERROR(__xludf.DUMMYFUNCTION("""COMPUTED_VALUE"""),10)</f>
        <v>10</v>
      </c>
      <c r="C236" s="19" t="str">
        <f ca="1">IFERROR(__xludf.DUMMYFUNCTION("""COMPUTED_VALUE"""),"Programming part 6 - Dictionaries and data files")</f>
        <v>Programming part 6 - Dictionaries and data files</v>
      </c>
      <c r="D236" s="17">
        <f ca="1">IFERROR(__xludf.DUMMYFUNCTION("""COMPUTED_VALUE"""),42)</f>
        <v>42</v>
      </c>
      <c r="E236" s="19" t="str">
        <f ca="1">IFERROR(__xludf.DUMMYFUNCTION("""COMPUTED_VALUE"""),"Determine the good habits of a programmer")</f>
        <v>Determine the good habits of a programmer</v>
      </c>
      <c r="F236" s="30" t="b">
        <f ca="1">IFERROR(__xludf.DUMMYFUNCTION("""COMPUTED_VALUE"""),TRUE)</f>
        <v>1</v>
      </c>
      <c r="G236" s="26" t="b">
        <f ca="1">IFERROR(__xludf.DUMMYFUNCTION("""COMPUTED_VALUE"""),TRUE)</f>
        <v>1</v>
      </c>
      <c r="H236" s="27"/>
      <c r="I236" s="30"/>
      <c r="J236" s="26"/>
      <c r="K236" s="26"/>
      <c r="L236" s="26" t="b">
        <f ca="1">IFERROR(__xludf.DUMMYFUNCTION("""COMPUTED_VALUE"""),TRUE)</f>
        <v>1</v>
      </c>
      <c r="M236" s="26"/>
      <c r="N236" s="26" t="b">
        <f ca="1">IFERROR(__xludf.DUMMYFUNCTION("""COMPUTED_VALUE"""),TRUE)</f>
        <v>1</v>
      </c>
      <c r="O236" s="26"/>
      <c r="P236" s="26"/>
      <c r="Q236" s="26" t="b">
        <f ca="1">IFERROR(__xludf.DUMMYFUNCTION("""COMPUTED_VALUE"""),TRUE)</f>
        <v>1</v>
      </c>
      <c r="R236" s="27"/>
      <c r="S236" s="31"/>
      <c r="T236" s="31"/>
      <c r="U236" s="31"/>
      <c r="V236" s="32"/>
      <c r="W236" s="67"/>
    </row>
    <row r="237" spans="1:23" ht="28">
      <c r="A237" s="17" t="str">
        <f ca="1">IFERROR(__xludf.DUMMYFUNCTION("""COMPUTED_VALUE"""),"GCSE")</f>
        <v>GCSE</v>
      </c>
      <c r="B237" s="17">
        <f ca="1">IFERROR(__xludf.DUMMYFUNCTION("""COMPUTED_VALUE"""),10)</f>
        <v>10</v>
      </c>
      <c r="C237" s="19" t="str">
        <f ca="1">IFERROR(__xludf.DUMMYFUNCTION("""COMPUTED_VALUE"""),"Programming part 6 - Dictionaries and data files")</f>
        <v>Programming part 6 - Dictionaries and data files</v>
      </c>
      <c r="D237" s="17">
        <f ca="1">IFERROR(__xludf.DUMMYFUNCTION("""COMPUTED_VALUE"""),42)</f>
        <v>42</v>
      </c>
      <c r="E237" s="19" t="str">
        <f ca="1">IFERROR(__xludf.DUMMYFUNCTION("""COMPUTED_VALUE"""),"Explore alternative approaches to programming solutions")</f>
        <v>Explore alternative approaches to programming solutions</v>
      </c>
      <c r="F237" s="30" t="b">
        <f ca="1">IFERROR(__xludf.DUMMYFUNCTION("""COMPUTED_VALUE"""),TRUE)</f>
        <v>1</v>
      </c>
      <c r="G237" s="26" t="b">
        <f ca="1">IFERROR(__xludf.DUMMYFUNCTION("""COMPUTED_VALUE"""),TRUE)</f>
        <v>1</v>
      </c>
      <c r="H237" s="27"/>
      <c r="I237" s="30"/>
      <c r="J237" s="26"/>
      <c r="K237" s="26"/>
      <c r="L237" s="26" t="b">
        <f ca="1">IFERROR(__xludf.DUMMYFUNCTION("""COMPUTED_VALUE"""),TRUE)</f>
        <v>1</v>
      </c>
      <c r="M237" s="26" t="b">
        <f ca="1">IFERROR(__xludf.DUMMYFUNCTION("""COMPUTED_VALUE"""),TRUE)</f>
        <v>1</v>
      </c>
      <c r="N237" s="26"/>
      <c r="O237" s="26"/>
      <c r="P237" s="26"/>
      <c r="Q237" s="26"/>
      <c r="R237" s="27"/>
      <c r="S237" s="31"/>
      <c r="T237" s="31"/>
      <c r="U237" s="31"/>
      <c r="V237" s="32"/>
      <c r="W237" s="67"/>
    </row>
    <row r="238" spans="1:23" ht="28">
      <c r="A238" s="17" t="str">
        <f ca="1">IFERROR(__xludf.DUMMYFUNCTION("""COMPUTED_VALUE"""),"GCSE")</f>
        <v>GCSE</v>
      </c>
      <c r="B238" s="17">
        <f ca="1">IFERROR(__xludf.DUMMYFUNCTION("""COMPUTED_VALUE"""),10)</f>
        <v>10</v>
      </c>
      <c r="C238" s="19" t="str">
        <f ca="1">IFERROR(__xludf.DUMMYFUNCTION("""COMPUTED_VALUE"""),"Programming part 6 - Dictionaries and data files")</f>
        <v>Programming part 6 - Dictionaries and data files</v>
      </c>
      <c r="D238" s="17">
        <f ca="1">IFERROR(__xludf.DUMMYFUNCTION("""COMPUTED_VALUE"""),43)</f>
        <v>43</v>
      </c>
      <c r="E238" s="19" t="str">
        <f ca="1">IFERROR(__xludf.DUMMYFUNCTION("""COMPUTED_VALUE"""),"Write success criteria for a challenging project")</f>
        <v>Write success criteria for a challenging project</v>
      </c>
      <c r="F238" s="30" t="b">
        <f ca="1">IFERROR(__xludf.DUMMYFUNCTION("""COMPUTED_VALUE"""),TRUE)</f>
        <v>1</v>
      </c>
      <c r="G238" s="26" t="b">
        <f ca="1">IFERROR(__xludf.DUMMYFUNCTION("""COMPUTED_VALUE"""),TRUE)</f>
        <v>1</v>
      </c>
      <c r="H238" s="27"/>
      <c r="I238" s="30"/>
      <c r="J238" s="26"/>
      <c r="K238" s="26"/>
      <c r="L238" s="26" t="b">
        <f ca="1">IFERROR(__xludf.DUMMYFUNCTION("""COMPUTED_VALUE"""),TRUE)</f>
        <v>1</v>
      </c>
      <c r="M238" s="26"/>
      <c r="N238" s="26"/>
      <c r="O238" s="26"/>
      <c r="P238" s="26"/>
      <c r="Q238" s="26" t="b">
        <f ca="1">IFERROR(__xludf.DUMMYFUNCTION("""COMPUTED_VALUE"""),TRUE)</f>
        <v>1</v>
      </c>
      <c r="R238" s="27"/>
      <c r="S238" s="28"/>
      <c r="T238" s="28"/>
      <c r="U238" s="28"/>
      <c r="V238" s="29"/>
      <c r="W238" s="67"/>
    </row>
    <row r="239" spans="1:23" ht="28">
      <c r="A239" s="17" t="str">
        <f ca="1">IFERROR(__xludf.DUMMYFUNCTION("""COMPUTED_VALUE"""),"GCSE")</f>
        <v>GCSE</v>
      </c>
      <c r="B239" s="17">
        <f ca="1">IFERROR(__xludf.DUMMYFUNCTION("""COMPUTED_VALUE"""),10)</f>
        <v>10</v>
      </c>
      <c r="C239" s="19" t="str">
        <f ca="1">IFERROR(__xludf.DUMMYFUNCTION("""COMPUTED_VALUE"""),"Programming part 6 - Dictionaries and data files")</f>
        <v>Programming part 6 - Dictionaries and data files</v>
      </c>
      <c r="D239" s="17">
        <f ca="1">IFERROR(__xludf.DUMMYFUNCTION("""COMPUTED_VALUE"""),44)</f>
        <v>44</v>
      </c>
      <c r="E239" s="19" t="str">
        <f ca="1">IFERROR(__xludf.DUMMYFUNCTION("""COMPUTED_VALUE"""),"Design the program for a challenging project using flowchart or pseudocode")</f>
        <v>Design the program for a challenging project using flowchart or pseudocode</v>
      </c>
      <c r="F239" s="30" t="b">
        <f ca="1">IFERROR(__xludf.DUMMYFUNCTION("""COMPUTED_VALUE"""),TRUE)</f>
        <v>1</v>
      </c>
      <c r="G239" s="26" t="b">
        <f ca="1">IFERROR(__xludf.DUMMYFUNCTION("""COMPUTED_VALUE"""),TRUE)</f>
        <v>1</v>
      </c>
      <c r="H239" s="27"/>
      <c r="I239" s="30" t="b">
        <f ca="1">IFERROR(__xludf.DUMMYFUNCTION("""COMPUTED_VALUE"""),TRUE)</f>
        <v>1</v>
      </c>
      <c r="J239" s="26"/>
      <c r="K239" s="26"/>
      <c r="L239" s="26" t="b">
        <f ca="1">IFERROR(__xludf.DUMMYFUNCTION("""COMPUTED_VALUE"""),TRUE)</f>
        <v>1</v>
      </c>
      <c r="M239" s="26"/>
      <c r="N239" s="26"/>
      <c r="O239" s="26"/>
      <c r="P239" s="26"/>
      <c r="Q239" s="26" t="b">
        <f ca="1">IFERROR(__xludf.DUMMYFUNCTION("""COMPUTED_VALUE"""),TRUE)</f>
        <v>1</v>
      </c>
      <c r="R239" s="27"/>
      <c r="S239" s="28"/>
      <c r="T239" s="28"/>
      <c r="U239" s="28"/>
      <c r="V239" s="29"/>
      <c r="W239" s="67"/>
    </row>
    <row r="240" spans="1:23" ht="28">
      <c r="A240" s="17" t="str">
        <f ca="1">IFERROR(__xludf.DUMMYFUNCTION("""COMPUTED_VALUE"""),"GCSE")</f>
        <v>GCSE</v>
      </c>
      <c r="B240" s="17">
        <f ca="1">IFERROR(__xludf.DUMMYFUNCTION("""COMPUTED_VALUE"""),10)</f>
        <v>10</v>
      </c>
      <c r="C240" s="19" t="str">
        <f ca="1">IFERROR(__xludf.DUMMYFUNCTION("""COMPUTED_VALUE"""),"Programming part 6 - Dictionaries and data files")</f>
        <v>Programming part 6 - Dictionaries and data files</v>
      </c>
      <c r="D240" s="17">
        <f ca="1">IFERROR(__xludf.DUMMYFUNCTION("""COMPUTED_VALUE"""),45)</f>
        <v>45</v>
      </c>
      <c r="E240" s="19" t="str">
        <f ca="1">IFERROR(__xludf.DUMMYFUNCTION("""COMPUTED_VALUE"""),"Create the solution for the battle boats program")</f>
        <v>Create the solution for the battle boats program</v>
      </c>
      <c r="F240" s="30" t="b">
        <f ca="1">IFERROR(__xludf.DUMMYFUNCTION("""COMPUTED_VALUE"""),TRUE)</f>
        <v>1</v>
      </c>
      <c r="G240" s="26" t="b">
        <f ca="1">IFERROR(__xludf.DUMMYFUNCTION("""COMPUTED_VALUE"""),TRUE)</f>
        <v>1</v>
      </c>
      <c r="H240" s="27"/>
      <c r="I240" s="30"/>
      <c r="J240" s="26"/>
      <c r="K240" s="26"/>
      <c r="L240" s="26"/>
      <c r="M240" s="26"/>
      <c r="N240" s="26"/>
      <c r="O240" s="26"/>
      <c r="P240" s="26"/>
      <c r="Q240" s="26" t="b">
        <f ca="1">IFERROR(__xludf.DUMMYFUNCTION("""COMPUTED_VALUE"""),TRUE)</f>
        <v>1</v>
      </c>
      <c r="R240" s="27"/>
      <c r="S240" s="28"/>
      <c r="T240" s="28"/>
      <c r="U240" s="28"/>
      <c r="V240" s="29"/>
      <c r="W240" s="67"/>
    </row>
    <row r="241" spans="1:23" ht="28">
      <c r="A241" s="17" t="str">
        <f ca="1">IFERROR(__xludf.DUMMYFUNCTION("""COMPUTED_VALUE"""),"GCSE")</f>
        <v>GCSE</v>
      </c>
      <c r="B241" s="17">
        <f ca="1">IFERROR(__xludf.DUMMYFUNCTION("""COMPUTED_VALUE"""),10)</f>
        <v>10</v>
      </c>
      <c r="C241" s="19" t="str">
        <f ca="1">IFERROR(__xludf.DUMMYFUNCTION("""COMPUTED_VALUE"""),"Programming part 6 - Dictionaries and data files")</f>
        <v>Programming part 6 - Dictionaries and data files</v>
      </c>
      <c r="D241" s="17">
        <f ca="1">IFERROR(__xludf.DUMMYFUNCTION("""COMPUTED_VALUE"""),49)</f>
        <v>49</v>
      </c>
      <c r="E241" s="19" t="str">
        <f ca="1">IFERROR(__xludf.DUMMYFUNCTION("""COMPUTED_VALUE"""),"Perform final testing of the solution to a challenging problem")</f>
        <v>Perform final testing of the solution to a challenging problem</v>
      </c>
      <c r="F241" s="30" t="b">
        <f ca="1">IFERROR(__xludf.DUMMYFUNCTION("""COMPUTED_VALUE"""),TRUE)</f>
        <v>1</v>
      </c>
      <c r="G241" s="26" t="b">
        <f ca="1">IFERROR(__xludf.DUMMYFUNCTION("""COMPUTED_VALUE"""),TRUE)</f>
        <v>1</v>
      </c>
      <c r="H241" s="27"/>
      <c r="I241" s="30"/>
      <c r="J241" s="26"/>
      <c r="K241" s="26"/>
      <c r="L241" s="26" t="b">
        <f ca="1">IFERROR(__xludf.DUMMYFUNCTION("""COMPUTED_VALUE"""),TRUE)</f>
        <v>1</v>
      </c>
      <c r="M241" s="26"/>
      <c r="N241" s="26"/>
      <c r="O241" s="26"/>
      <c r="P241" s="26"/>
      <c r="Q241" s="26" t="b">
        <f ca="1">IFERROR(__xludf.DUMMYFUNCTION("""COMPUTED_VALUE"""),TRUE)</f>
        <v>1</v>
      </c>
      <c r="R241" s="27"/>
      <c r="S241" s="28"/>
      <c r="T241" s="28"/>
      <c r="U241" s="28"/>
      <c r="V241" s="29"/>
      <c r="W241" s="67"/>
    </row>
    <row r="242" spans="1:23" ht="28">
      <c r="A242" s="17" t="str">
        <f ca="1">IFERROR(__xludf.DUMMYFUNCTION("""COMPUTED_VALUE"""),"GCSE")</f>
        <v>GCSE</v>
      </c>
      <c r="B242" s="17">
        <f ca="1">IFERROR(__xludf.DUMMYFUNCTION("""COMPUTED_VALUE"""),10)</f>
        <v>10</v>
      </c>
      <c r="C242" s="19" t="str">
        <f ca="1">IFERROR(__xludf.DUMMYFUNCTION("""COMPUTED_VALUE"""),"Programming part 6 - Dictionaries and data files")</f>
        <v>Programming part 6 - Dictionaries and data files</v>
      </c>
      <c r="D242" s="17">
        <f ca="1">IFERROR(__xludf.DUMMYFUNCTION("""COMPUTED_VALUE"""),50)</f>
        <v>50</v>
      </c>
      <c r="E242" s="19" t="str">
        <f ca="1">IFERROR(__xludf.DUMMYFUNCTION("""COMPUTED_VALUE"""),"Evaluate a challenging program")</f>
        <v>Evaluate a challenging program</v>
      </c>
      <c r="F242" s="30" t="b">
        <f ca="1">IFERROR(__xludf.DUMMYFUNCTION("""COMPUTED_VALUE"""),TRUE)</f>
        <v>1</v>
      </c>
      <c r="G242" s="26" t="b">
        <f ca="1">IFERROR(__xludf.DUMMYFUNCTION("""COMPUTED_VALUE"""),TRUE)</f>
        <v>1</v>
      </c>
      <c r="H242" s="27"/>
      <c r="I242" s="30"/>
      <c r="J242" s="26"/>
      <c r="K242" s="26"/>
      <c r="L242" s="26" t="b">
        <f ca="1">IFERROR(__xludf.DUMMYFUNCTION("""COMPUTED_VALUE"""),TRUE)</f>
        <v>1</v>
      </c>
      <c r="M242" s="26"/>
      <c r="N242" s="26"/>
      <c r="O242" s="26"/>
      <c r="P242" s="26"/>
      <c r="Q242" s="26" t="b">
        <f ca="1">IFERROR(__xludf.DUMMYFUNCTION("""COMPUTED_VALUE"""),TRUE)</f>
        <v>1</v>
      </c>
      <c r="R242" s="27"/>
      <c r="S242" s="28"/>
      <c r="T242" s="28"/>
      <c r="U242" s="28"/>
      <c r="V242" s="29"/>
      <c r="W242" s="67"/>
    </row>
    <row r="243" spans="1:23" ht="21">
      <c r="A243" s="17" t="str">
        <f ca="1">IFERROR(__xludf.DUMMYFUNCTION("""COMPUTED_VALUE"""),"GCSE")</f>
        <v>GCSE</v>
      </c>
      <c r="B243" s="17">
        <f ca="1">IFERROR(__xludf.DUMMYFUNCTION("""COMPUTED_VALUE"""),11)</f>
        <v>11</v>
      </c>
      <c r="C243" s="19" t="str">
        <f ca="1">IFERROR(__xludf.DUMMYFUNCTION("""COMPUTED_VALUE"""),"Impacts of technology")</f>
        <v>Impacts of technology</v>
      </c>
      <c r="D243" s="17">
        <f ca="1">IFERROR(__xludf.DUMMYFUNCTION("""COMPUTED_VALUE"""),1)</f>
        <v>1</v>
      </c>
      <c r="E243" s="19" t="str">
        <f ca="1">IFERROR(__xludf.DUMMYFUNCTION("""COMPUTED_VALUE"""),"Apply the terms ‘privacy’, ‘legal’, ‘ethical’, ‘environmental’, and ‘cultural’")</f>
        <v>Apply the terms ‘privacy’, ‘legal’, ‘ethical’, ‘environmental’, and ‘cultural’</v>
      </c>
      <c r="F243" s="30" t="b">
        <f ca="1">IFERROR(__xludf.DUMMYFUNCTION("""COMPUTED_VALUE"""),TRUE)</f>
        <v>1</v>
      </c>
      <c r="G243" s="26"/>
      <c r="H243" s="27"/>
      <c r="I243" s="30"/>
      <c r="J243" s="26"/>
      <c r="K243" s="26"/>
      <c r="L243" s="26"/>
      <c r="M243" s="26"/>
      <c r="N243" s="26"/>
      <c r="O243" s="26" t="b">
        <f ca="1">IFERROR(__xludf.DUMMYFUNCTION("""COMPUTED_VALUE"""),TRUE)</f>
        <v>1</v>
      </c>
      <c r="P243" s="26"/>
      <c r="Q243" s="26"/>
      <c r="R243" s="27"/>
      <c r="S243" s="31"/>
      <c r="T243" s="31"/>
      <c r="U243" s="31"/>
      <c r="V243" s="32" t="e">
        <v>#N/A</v>
      </c>
      <c r="W243" s="67"/>
    </row>
    <row r="244" spans="1:23" ht="28">
      <c r="A244" s="17" t="str">
        <f ca="1">IFERROR(__xludf.DUMMYFUNCTION("""COMPUTED_VALUE"""),"GCSE")</f>
        <v>GCSE</v>
      </c>
      <c r="B244" s="17">
        <f ca="1">IFERROR(__xludf.DUMMYFUNCTION("""COMPUTED_VALUE"""),11)</f>
        <v>11</v>
      </c>
      <c r="C244" s="19" t="str">
        <f ca="1">IFERROR(__xludf.DUMMYFUNCTION("""COMPUTED_VALUE"""),"Impacts of technology")</f>
        <v>Impacts of technology</v>
      </c>
      <c r="D244" s="17">
        <f ca="1">IFERROR(__xludf.DUMMYFUNCTION("""COMPUTED_VALUE"""),1)</f>
        <v>1</v>
      </c>
      <c r="E244" s="19" t="str">
        <f ca="1">IFERROR(__xludf.DUMMYFUNCTION("""COMPUTED_VALUE"""),"Explain data legislation, including an organisation’s obligation to protect and supply data")</f>
        <v>Explain data legislation, including an organisation’s obligation to protect and supply data</v>
      </c>
      <c r="F244" s="30" t="b">
        <f ca="1">IFERROR(__xludf.DUMMYFUNCTION("""COMPUTED_VALUE"""),TRUE)</f>
        <v>1</v>
      </c>
      <c r="G244" s="26"/>
      <c r="H244" s="27"/>
      <c r="I244" s="30"/>
      <c r="J244" s="26"/>
      <c r="K244" s="26"/>
      <c r="L244" s="26"/>
      <c r="M244" s="26" t="b">
        <f ca="1">IFERROR(__xludf.DUMMYFUNCTION("""COMPUTED_VALUE"""),TRUE)</f>
        <v>1</v>
      </c>
      <c r="N244" s="26"/>
      <c r="O244" s="26" t="b">
        <f ca="1">IFERROR(__xludf.DUMMYFUNCTION("""COMPUTED_VALUE"""),TRUE)</f>
        <v>1</v>
      </c>
      <c r="P244" s="26"/>
      <c r="Q244" s="26"/>
      <c r="R244" s="27"/>
      <c r="S244" s="28"/>
      <c r="T244" s="28"/>
      <c r="U244" s="28"/>
      <c r="V244" s="29"/>
      <c r="W244" s="67"/>
    </row>
    <row r="245" spans="1:23" ht="28">
      <c r="A245" s="17" t="str">
        <f ca="1">IFERROR(__xludf.DUMMYFUNCTION("""COMPUTED_VALUE"""),"GCSE")</f>
        <v>GCSE</v>
      </c>
      <c r="B245" s="17">
        <f ca="1">IFERROR(__xludf.DUMMYFUNCTION("""COMPUTED_VALUE"""),11)</f>
        <v>11</v>
      </c>
      <c r="C245" s="19" t="str">
        <f ca="1">IFERROR(__xludf.DUMMYFUNCTION("""COMPUTED_VALUE"""),"Impacts of technology")</f>
        <v>Impacts of technology</v>
      </c>
      <c r="D245" s="17">
        <f ca="1">IFERROR(__xludf.DUMMYFUNCTION("""COMPUTED_VALUE"""),2)</f>
        <v>2</v>
      </c>
      <c r="E245" s="19" t="str">
        <f ca="1">IFERROR(__xludf.DUMMYFUNCTION("""COMPUTED_VALUE"""),"Distinguish the differences between legitimate creative uses and clear infringement of material subject to copyright")</f>
        <v>Distinguish the differences between legitimate creative uses and clear infringement of material subject to copyright</v>
      </c>
      <c r="F245" s="30" t="b">
        <f ca="1">IFERROR(__xludf.DUMMYFUNCTION("""COMPUTED_VALUE"""),TRUE)</f>
        <v>1</v>
      </c>
      <c r="G245" s="26"/>
      <c r="H245" s="27"/>
      <c r="I245" s="30"/>
      <c r="J245" s="26"/>
      <c r="K245" s="26"/>
      <c r="L245" s="26"/>
      <c r="M245" s="26"/>
      <c r="N245" s="26"/>
      <c r="O245" s="26" t="b">
        <f ca="1">IFERROR(__xludf.DUMMYFUNCTION("""COMPUTED_VALUE"""),TRUE)</f>
        <v>1</v>
      </c>
      <c r="P245" s="26"/>
      <c r="Q245" s="26"/>
      <c r="R245" s="27"/>
      <c r="S245" s="31"/>
      <c r="T245" s="31"/>
      <c r="U245" s="31"/>
      <c r="V245" s="32"/>
      <c r="W245" s="67"/>
    </row>
    <row r="246" spans="1:23" ht="21">
      <c r="A246" s="17" t="str">
        <f ca="1">IFERROR(__xludf.DUMMYFUNCTION("""COMPUTED_VALUE"""),"GCSE")</f>
        <v>GCSE</v>
      </c>
      <c r="B246" s="17">
        <f ca="1">IFERROR(__xludf.DUMMYFUNCTION("""COMPUTED_VALUE"""),11)</f>
        <v>11</v>
      </c>
      <c r="C246" s="19" t="str">
        <f ca="1">IFERROR(__xludf.DUMMYFUNCTION("""COMPUTED_VALUE"""),"Impacts of technology")</f>
        <v>Impacts of technology</v>
      </c>
      <c r="D246" s="17">
        <f ca="1">IFERROR(__xludf.DUMMYFUNCTION("""COMPUTED_VALUE"""),2)</f>
        <v>2</v>
      </c>
      <c r="E246" s="19" t="str">
        <f ca="1">IFERROR(__xludf.DUMMYFUNCTION("""COMPUTED_VALUE"""),"Explain the right to be forgotten")</f>
        <v>Explain the right to be forgotten</v>
      </c>
      <c r="F246" s="30" t="b">
        <f ca="1">IFERROR(__xludf.DUMMYFUNCTION("""COMPUTED_VALUE"""),TRUE)</f>
        <v>1</v>
      </c>
      <c r="G246" s="26"/>
      <c r="H246" s="27"/>
      <c r="I246" s="30"/>
      <c r="J246" s="26"/>
      <c r="K246" s="26"/>
      <c r="L246" s="26"/>
      <c r="M246" s="26" t="b">
        <f ca="1">IFERROR(__xludf.DUMMYFUNCTION("""COMPUTED_VALUE"""),TRUE)</f>
        <v>1</v>
      </c>
      <c r="N246" s="26"/>
      <c r="O246" s="26" t="b">
        <f ca="1">IFERROR(__xludf.DUMMYFUNCTION("""COMPUTED_VALUE"""),TRUE)</f>
        <v>1</v>
      </c>
      <c r="P246" s="26"/>
      <c r="Q246" s="26"/>
      <c r="R246" s="27"/>
      <c r="S246" s="28"/>
      <c r="T246" s="28"/>
      <c r="U246" s="28"/>
      <c r="V246" s="29"/>
      <c r="W246" s="67"/>
    </row>
    <row r="247" spans="1:23" ht="21">
      <c r="A247" s="17" t="str">
        <f ca="1">IFERROR(__xludf.DUMMYFUNCTION("""COMPUTED_VALUE"""),"GCSE")</f>
        <v>GCSE</v>
      </c>
      <c r="B247" s="17">
        <f ca="1">IFERROR(__xludf.DUMMYFUNCTION("""COMPUTED_VALUE"""),11)</f>
        <v>11</v>
      </c>
      <c r="C247" s="19" t="str">
        <f ca="1">IFERROR(__xludf.DUMMYFUNCTION("""COMPUTED_VALUE"""),"Impacts of technology")</f>
        <v>Impacts of technology</v>
      </c>
      <c r="D247" s="17">
        <f ca="1">IFERROR(__xludf.DUMMYFUNCTION("""COMPUTED_VALUE"""),2)</f>
        <v>2</v>
      </c>
      <c r="E247" s="19" t="str">
        <f ca="1">IFERROR(__xludf.DUMMYFUNCTION("""COMPUTED_VALUE"""),"Explain the term ‘stakeholder’")</f>
        <v>Explain the term ‘stakeholder’</v>
      </c>
      <c r="F247" s="30" t="b">
        <f ca="1">IFERROR(__xludf.DUMMYFUNCTION("""COMPUTED_VALUE"""),TRUE)</f>
        <v>1</v>
      </c>
      <c r="G247" s="26"/>
      <c r="H247" s="27"/>
      <c r="I247" s="30"/>
      <c r="J247" s="26"/>
      <c r="K247" s="26"/>
      <c r="L247" s="26"/>
      <c r="M247" s="26"/>
      <c r="N247" s="26"/>
      <c r="O247" s="26" t="b">
        <f ca="1">IFERROR(__xludf.DUMMYFUNCTION("""COMPUTED_VALUE"""),TRUE)</f>
        <v>1</v>
      </c>
      <c r="P247" s="26"/>
      <c r="Q247" s="26"/>
      <c r="R247" s="27"/>
      <c r="S247" s="31"/>
      <c r="T247" s="31"/>
      <c r="U247" s="31"/>
      <c r="V247" s="32"/>
      <c r="W247" s="67"/>
    </row>
    <row r="248" spans="1:23" ht="21">
      <c r="A248" s="17" t="str">
        <f ca="1">IFERROR(__xludf.DUMMYFUNCTION("""COMPUTED_VALUE"""),"GCSE")</f>
        <v>GCSE</v>
      </c>
      <c r="B248" s="17">
        <f ca="1">IFERROR(__xludf.DUMMYFUNCTION("""COMPUTED_VALUE"""),11)</f>
        <v>11</v>
      </c>
      <c r="C248" s="19" t="str">
        <f ca="1">IFERROR(__xludf.DUMMYFUNCTION("""COMPUTED_VALUE"""),"Impacts of technology")</f>
        <v>Impacts of technology</v>
      </c>
      <c r="D248" s="17">
        <f ca="1">IFERROR(__xludf.DUMMYFUNCTION("""COMPUTED_VALUE"""),3)</f>
        <v>3</v>
      </c>
      <c r="E248" s="19" t="str">
        <f ca="1">IFERROR(__xludf.DUMMYFUNCTION("""COMPUTED_VALUE"""),"Define ‘computer misuse’ and the associated offences")</f>
        <v>Define ‘computer misuse’ and the associated offences</v>
      </c>
      <c r="F248" s="30" t="b">
        <f ca="1">IFERROR(__xludf.DUMMYFUNCTION("""COMPUTED_VALUE"""),TRUE)</f>
        <v>1</v>
      </c>
      <c r="G248" s="26"/>
      <c r="H248" s="27"/>
      <c r="I248" s="30"/>
      <c r="J248" s="26"/>
      <c r="K248" s="26" t="b">
        <f ca="1">IFERROR(__xludf.DUMMYFUNCTION("""COMPUTED_VALUE"""),TRUE)</f>
        <v>1</v>
      </c>
      <c r="L248" s="26"/>
      <c r="M248" s="26"/>
      <c r="N248" s="26"/>
      <c r="O248" s="26" t="b">
        <f ca="1">IFERROR(__xludf.DUMMYFUNCTION("""COMPUTED_VALUE"""),TRUE)</f>
        <v>1</v>
      </c>
      <c r="P248" s="26"/>
      <c r="Q248" s="26"/>
      <c r="R248" s="27"/>
      <c r="S248" s="31"/>
      <c r="T248" s="31"/>
      <c r="U248" s="31"/>
      <c r="V248" s="32"/>
      <c r="W248" s="67"/>
    </row>
    <row r="249" spans="1:23" ht="21">
      <c r="A249" s="17" t="str">
        <f ca="1">IFERROR(__xludf.DUMMYFUNCTION("""COMPUTED_VALUE"""),"GCSE")</f>
        <v>GCSE</v>
      </c>
      <c r="B249" s="17">
        <f ca="1">IFERROR(__xludf.DUMMYFUNCTION("""COMPUTED_VALUE"""),11)</f>
        <v>11</v>
      </c>
      <c r="C249" s="19" t="str">
        <f ca="1">IFERROR(__xludf.DUMMYFUNCTION("""COMPUTED_VALUE"""),"Impacts of technology")</f>
        <v>Impacts of technology</v>
      </c>
      <c r="D249" s="17">
        <f ca="1">IFERROR(__xludf.DUMMYFUNCTION("""COMPUTED_VALUE"""),3)</f>
        <v>3</v>
      </c>
      <c r="E249" s="19" t="str">
        <f ca="1">IFERROR(__xludf.DUMMYFUNCTION("""COMPUTED_VALUE"""),"Explain the Freedom of Information Act")</f>
        <v>Explain the Freedom of Information Act</v>
      </c>
      <c r="F249" s="30" t="b">
        <f ca="1">IFERROR(__xludf.DUMMYFUNCTION("""COMPUTED_VALUE"""),TRUE)</f>
        <v>1</v>
      </c>
      <c r="G249" s="26"/>
      <c r="H249" s="27"/>
      <c r="I249" s="30"/>
      <c r="J249" s="26"/>
      <c r="K249" s="26"/>
      <c r="L249" s="26"/>
      <c r="M249" s="26"/>
      <c r="N249" s="26"/>
      <c r="O249" s="26" t="b">
        <f ca="1">IFERROR(__xludf.DUMMYFUNCTION("""COMPUTED_VALUE"""),TRUE)</f>
        <v>1</v>
      </c>
      <c r="P249" s="26"/>
      <c r="Q249" s="26"/>
      <c r="R249" s="27"/>
      <c r="S249" s="28"/>
      <c r="T249" s="28"/>
      <c r="U249" s="28"/>
      <c r="V249" s="29"/>
      <c r="W249" s="67"/>
    </row>
    <row r="250" spans="1:23" ht="21">
      <c r="A250" s="17" t="str">
        <f ca="1">IFERROR(__xludf.DUMMYFUNCTION("""COMPUTED_VALUE"""),"GCSE")</f>
        <v>GCSE</v>
      </c>
      <c r="B250" s="17">
        <f ca="1">IFERROR(__xludf.DUMMYFUNCTION("""COMPUTED_VALUE"""),11)</f>
        <v>11</v>
      </c>
      <c r="C250" s="19" t="str">
        <f ca="1">IFERROR(__xludf.DUMMYFUNCTION("""COMPUTED_VALUE"""),"Impacts of technology")</f>
        <v>Impacts of technology</v>
      </c>
      <c r="D250" s="17">
        <f ca="1">IFERROR(__xludf.DUMMYFUNCTION("""COMPUTED_VALUE"""),3)</f>
        <v>3</v>
      </c>
      <c r="E250" s="19" t="str">
        <f ca="1">IFERROR(__xludf.DUMMYFUNCTION("""COMPUTED_VALUE"""),"Identify situations that would be classified as an offence under the Act")</f>
        <v>Identify situations that would be classified as an offence under the Act</v>
      </c>
      <c r="F250" s="30" t="b">
        <f ca="1">IFERROR(__xludf.DUMMYFUNCTION("""COMPUTED_VALUE"""),TRUE)</f>
        <v>1</v>
      </c>
      <c r="G250" s="26"/>
      <c r="H250" s="27"/>
      <c r="I250" s="30"/>
      <c r="J250" s="26"/>
      <c r="K250" s="26"/>
      <c r="L250" s="26"/>
      <c r="M250" s="26"/>
      <c r="N250" s="26"/>
      <c r="O250" s="26" t="b">
        <f ca="1">IFERROR(__xludf.DUMMYFUNCTION("""COMPUTED_VALUE"""),TRUE)</f>
        <v>1</v>
      </c>
      <c r="P250" s="26"/>
      <c r="Q250" s="26"/>
      <c r="R250" s="27"/>
      <c r="S250" s="31"/>
      <c r="T250" s="31"/>
      <c r="U250" s="31"/>
      <c r="V250" s="32"/>
      <c r="W250" s="67"/>
    </row>
    <row r="251" spans="1:23" ht="21">
      <c r="A251" s="17" t="str">
        <f ca="1">IFERROR(__xludf.DUMMYFUNCTION("""COMPUTED_VALUE"""),"GCSE")</f>
        <v>GCSE</v>
      </c>
      <c r="B251" s="17">
        <f ca="1">IFERROR(__xludf.DUMMYFUNCTION("""COMPUTED_VALUE"""),11)</f>
        <v>11</v>
      </c>
      <c r="C251" s="19" t="str">
        <f ca="1">IFERROR(__xludf.DUMMYFUNCTION("""COMPUTED_VALUE"""),"Impacts of technology")</f>
        <v>Impacts of technology</v>
      </c>
      <c r="D251" s="17">
        <f ca="1">IFERROR(__xludf.DUMMYFUNCTION("""COMPUTED_VALUE"""),4)</f>
        <v>4</v>
      </c>
      <c r="E251" s="19" t="str">
        <f ca="1">IFERROR(__xludf.DUMMYFUNCTION("""COMPUTED_VALUE"""),"Define ‘downtime’ and explain the associated impact on an organisation")</f>
        <v>Define ‘downtime’ and explain the associated impact on an organisation</v>
      </c>
      <c r="F251" s="30" t="b">
        <f ca="1">IFERROR(__xludf.DUMMYFUNCTION("""COMPUTED_VALUE"""),TRUE)</f>
        <v>1</v>
      </c>
      <c r="G251" s="26"/>
      <c r="H251" s="27"/>
      <c r="I251" s="30"/>
      <c r="J251" s="26"/>
      <c r="K251" s="26" t="b">
        <f ca="1">IFERROR(__xludf.DUMMYFUNCTION("""COMPUTED_VALUE"""),TRUE)</f>
        <v>1</v>
      </c>
      <c r="L251" s="26"/>
      <c r="M251" s="26"/>
      <c r="N251" s="26"/>
      <c r="O251" s="26" t="b">
        <f ca="1">IFERROR(__xludf.DUMMYFUNCTION("""COMPUTED_VALUE"""),TRUE)</f>
        <v>1</v>
      </c>
      <c r="P251" s="26"/>
      <c r="Q251" s="26"/>
      <c r="R251" s="27"/>
      <c r="S251" s="28"/>
      <c r="T251" s="28"/>
      <c r="U251" s="28"/>
      <c r="V251" s="29"/>
      <c r="W251" s="67"/>
    </row>
    <row r="252" spans="1:23" ht="21">
      <c r="A252" s="17" t="str">
        <f ca="1">IFERROR(__xludf.DUMMYFUNCTION("""COMPUTED_VALUE"""),"GCSE")</f>
        <v>GCSE</v>
      </c>
      <c r="B252" s="17">
        <f ca="1">IFERROR(__xludf.DUMMYFUNCTION("""COMPUTED_VALUE"""),11)</f>
        <v>11</v>
      </c>
      <c r="C252" s="19" t="str">
        <f ca="1">IFERROR(__xludf.DUMMYFUNCTION("""COMPUTED_VALUE"""),"Impacts of technology")</f>
        <v>Impacts of technology</v>
      </c>
      <c r="D252" s="17">
        <f ca="1">IFERROR(__xludf.DUMMYFUNCTION("""COMPUTED_VALUE"""),4)</f>
        <v>4</v>
      </c>
      <c r="E252" s="19" t="str">
        <f ca="1">IFERROR(__xludf.DUMMYFUNCTION("""COMPUTED_VALUE"""),"Explain what is meant by the ‘digital divide’ and measures to mitigate its effect")</f>
        <v>Explain what is meant by the ‘digital divide’ and measures to mitigate its effect</v>
      </c>
      <c r="F252" s="30" t="b">
        <f ca="1">IFERROR(__xludf.DUMMYFUNCTION("""COMPUTED_VALUE"""),TRUE)</f>
        <v>1</v>
      </c>
      <c r="G252" s="26"/>
      <c r="H252" s="27"/>
      <c r="I252" s="30"/>
      <c r="J252" s="26"/>
      <c r="K252" s="26" t="b">
        <f ca="1">IFERROR(__xludf.DUMMYFUNCTION("""COMPUTED_VALUE"""),TRUE)</f>
        <v>1</v>
      </c>
      <c r="L252" s="26"/>
      <c r="M252" s="26"/>
      <c r="N252" s="26"/>
      <c r="O252" s="26" t="b">
        <f ca="1">IFERROR(__xludf.DUMMYFUNCTION("""COMPUTED_VALUE"""),TRUE)</f>
        <v>1</v>
      </c>
      <c r="P252" s="26" t="b">
        <f ca="1">IFERROR(__xludf.DUMMYFUNCTION("""COMPUTED_VALUE"""),TRUE)</f>
        <v>1</v>
      </c>
      <c r="Q252" s="26"/>
      <c r="R252" s="27"/>
      <c r="S252" s="28"/>
      <c r="T252" s="28"/>
      <c r="U252" s="28"/>
      <c r="V252" s="29"/>
      <c r="W252" s="67"/>
    </row>
    <row r="253" spans="1:23" ht="21">
      <c r="A253" s="17" t="str">
        <f ca="1">IFERROR(__xludf.DUMMYFUNCTION("""COMPUTED_VALUE"""),"GCSE")</f>
        <v>GCSE</v>
      </c>
      <c r="B253" s="17">
        <f ca="1">IFERROR(__xludf.DUMMYFUNCTION("""COMPUTED_VALUE"""),11)</f>
        <v>11</v>
      </c>
      <c r="C253" s="19" t="str">
        <f ca="1">IFERROR(__xludf.DUMMYFUNCTION("""COMPUTED_VALUE"""),"Impacts of technology")</f>
        <v>Impacts of technology</v>
      </c>
      <c r="D253" s="17">
        <f ca="1">IFERROR(__xludf.DUMMYFUNCTION("""COMPUTED_VALUE"""),4)</f>
        <v>4</v>
      </c>
      <c r="E253" s="19" t="str">
        <f ca="1">IFERROR(__xludf.DUMMYFUNCTION("""COMPUTED_VALUE"""),"Identify positive and negative aspects of the use of mobile technology")</f>
        <v>Identify positive and negative aspects of the use of mobile technology</v>
      </c>
      <c r="F253" s="30" t="b">
        <f ca="1">IFERROR(__xludf.DUMMYFUNCTION("""COMPUTED_VALUE"""),TRUE)</f>
        <v>1</v>
      </c>
      <c r="G253" s="26"/>
      <c r="H253" s="27"/>
      <c r="I253" s="30"/>
      <c r="J253" s="26"/>
      <c r="K253" s="26" t="b">
        <f ca="1">IFERROR(__xludf.DUMMYFUNCTION("""COMPUTED_VALUE"""),TRUE)</f>
        <v>1</v>
      </c>
      <c r="L253" s="26"/>
      <c r="M253" s="26"/>
      <c r="N253" s="26"/>
      <c r="O253" s="26" t="b">
        <f ca="1">IFERROR(__xludf.DUMMYFUNCTION("""COMPUTED_VALUE"""),TRUE)</f>
        <v>1</v>
      </c>
      <c r="P253" s="26" t="b">
        <f ca="1">IFERROR(__xludf.DUMMYFUNCTION("""COMPUTED_VALUE"""),TRUE)</f>
        <v>1</v>
      </c>
      <c r="Q253" s="26"/>
      <c r="R253" s="27"/>
      <c r="S253" s="31"/>
      <c r="T253" s="31"/>
      <c r="U253" s="31"/>
      <c r="V253" s="32"/>
      <c r="W253" s="67"/>
    </row>
    <row r="254" spans="1:23" ht="42">
      <c r="A254" s="17" t="str">
        <f ca="1">IFERROR(__xludf.DUMMYFUNCTION("""COMPUTED_VALUE"""),"GCSE")</f>
        <v>GCSE</v>
      </c>
      <c r="B254" s="17">
        <f ca="1">IFERROR(__xludf.DUMMYFUNCTION("""COMPUTED_VALUE"""),11)</f>
        <v>11</v>
      </c>
      <c r="C254" s="19" t="str">
        <f ca="1">IFERROR(__xludf.DUMMYFUNCTION("""COMPUTED_VALUE"""),"Impacts of technology")</f>
        <v>Impacts of technology</v>
      </c>
      <c r="D254" s="17">
        <f ca="1">IFERROR(__xludf.DUMMYFUNCTION("""COMPUTED_VALUE"""),5)</f>
        <v>5</v>
      </c>
      <c r="E254" s="19" t="str">
        <f ca="1">IFERROR(__xludf.DUMMYFUNCTION("""COMPUTED_VALUE"""),"Explain the positive and negative effects of online content")</f>
        <v>Explain the positive and negative effects of online content</v>
      </c>
      <c r="F254" s="30" t="b">
        <f ca="1">IFERROR(__xludf.DUMMYFUNCTION("""COMPUTED_VALUE"""),TRUE)</f>
        <v>1</v>
      </c>
      <c r="G254" s="26"/>
      <c r="H254" s="27"/>
      <c r="I254" s="30"/>
      <c r="J254" s="26"/>
      <c r="K254" s="26"/>
      <c r="L254" s="26"/>
      <c r="M254" s="26"/>
      <c r="N254" s="26"/>
      <c r="O254" s="26" t="b">
        <f ca="1">IFERROR(__xludf.DUMMYFUNCTION("""COMPUTED_VALUE"""),TRUE)</f>
        <v>1</v>
      </c>
      <c r="P254" s="26" t="b">
        <f ca="1">IFERROR(__xludf.DUMMYFUNCTION("""COMPUTED_VALUE"""),TRUE)</f>
        <v>1</v>
      </c>
      <c r="Q254" s="26"/>
      <c r="R254" s="27"/>
      <c r="S254" s="28" t="s">
        <v>93</v>
      </c>
      <c r="T254" s="28" t="s">
        <v>98</v>
      </c>
      <c r="U254" s="28" t="s">
        <v>97</v>
      </c>
      <c r="V254" s="29" t="s">
        <v>100</v>
      </c>
      <c r="W254" s="67"/>
    </row>
    <row r="255" spans="1:23" ht="28">
      <c r="A255" s="17" t="str">
        <f ca="1">IFERROR(__xludf.DUMMYFUNCTION("""COMPUTED_VALUE"""),"GCSE")</f>
        <v>GCSE</v>
      </c>
      <c r="B255" s="17">
        <f ca="1">IFERROR(__xludf.DUMMYFUNCTION("""COMPUTED_VALUE"""),11)</f>
        <v>11</v>
      </c>
      <c r="C255" s="19" t="str">
        <f ca="1">IFERROR(__xludf.DUMMYFUNCTION("""COMPUTED_VALUE"""),"Impacts of technology")</f>
        <v>Impacts of technology</v>
      </c>
      <c r="D255" s="17">
        <f ca="1">IFERROR(__xludf.DUMMYFUNCTION("""COMPUTED_VALUE"""),5)</f>
        <v>5</v>
      </c>
      <c r="E255" s="19" t="str">
        <f ca="1">IFERROR(__xludf.DUMMYFUNCTION("""COMPUTED_VALUE"""),"Explain the social and environmental impacts of social media")</f>
        <v>Explain the social and environmental impacts of social media</v>
      </c>
      <c r="F255" s="30" t="b">
        <f ca="1">IFERROR(__xludf.DUMMYFUNCTION("""COMPUTED_VALUE"""),TRUE)</f>
        <v>1</v>
      </c>
      <c r="G255" s="26"/>
      <c r="H255" s="27"/>
      <c r="I255" s="30"/>
      <c r="J255" s="26"/>
      <c r="K255" s="26"/>
      <c r="L255" s="26"/>
      <c r="M255" s="26"/>
      <c r="N255" s="26"/>
      <c r="O255" s="26" t="b">
        <f ca="1">IFERROR(__xludf.DUMMYFUNCTION("""COMPUTED_VALUE"""),TRUE)</f>
        <v>1</v>
      </c>
      <c r="P255" s="26" t="b">
        <f ca="1">IFERROR(__xludf.DUMMYFUNCTION("""COMPUTED_VALUE"""),TRUE)</f>
        <v>1</v>
      </c>
      <c r="Q255" s="26"/>
      <c r="R255" s="27"/>
      <c r="S255" s="28"/>
      <c r="T255" s="28"/>
      <c r="U255" s="28" t="s">
        <v>97</v>
      </c>
      <c r="V255" s="29" t="s">
        <v>100</v>
      </c>
      <c r="W255" s="67"/>
    </row>
    <row r="256" spans="1:23" ht="42">
      <c r="A256" s="17" t="str">
        <f ca="1">IFERROR(__xludf.DUMMYFUNCTION("""COMPUTED_VALUE"""),"GCSE")</f>
        <v>GCSE</v>
      </c>
      <c r="B256" s="17">
        <f ca="1">IFERROR(__xludf.DUMMYFUNCTION("""COMPUTED_VALUE"""),11)</f>
        <v>11</v>
      </c>
      <c r="C256" s="19" t="str">
        <f ca="1">IFERROR(__xludf.DUMMYFUNCTION("""COMPUTED_VALUE"""),"Impacts of technology")</f>
        <v>Impacts of technology</v>
      </c>
      <c r="D256" s="17">
        <f ca="1">IFERROR(__xludf.DUMMYFUNCTION("""COMPUTED_VALUE"""),5)</f>
        <v>5</v>
      </c>
      <c r="E256" s="19" t="str">
        <f ca="1">IFERROR(__xludf.DUMMYFUNCTION("""COMPUTED_VALUE"""),"Identify the implications of having personal data online")</f>
        <v>Identify the implications of having personal data online</v>
      </c>
      <c r="F256" s="30" t="b">
        <f ca="1">IFERROR(__xludf.DUMMYFUNCTION("""COMPUTED_VALUE"""),TRUE)</f>
        <v>1</v>
      </c>
      <c r="G256" s="26"/>
      <c r="H256" s="27"/>
      <c r="I256" s="30"/>
      <c r="J256" s="26"/>
      <c r="K256" s="26"/>
      <c r="L256" s="26"/>
      <c r="M256" s="26"/>
      <c r="N256" s="26"/>
      <c r="O256" s="26" t="b">
        <f ca="1">IFERROR(__xludf.DUMMYFUNCTION("""COMPUTED_VALUE"""),TRUE)</f>
        <v>1</v>
      </c>
      <c r="P256" s="26" t="b">
        <f ca="1">IFERROR(__xludf.DUMMYFUNCTION("""COMPUTED_VALUE"""),TRUE)</f>
        <v>1</v>
      </c>
      <c r="Q256" s="26"/>
      <c r="R256" s="27"/>
      <c r="S256" s="28" t="s">
        <v>93</v>
      </c>
      <c r="T256" s="28" t="s">
        <v>98</v>
      </c>
      <c r="U256" s="28"/>
      <c r="V256" s="29"/>
      <c r="W256" s="67"/>
    </row>
    <row r="257" spans="1:23" ht="42">
      <c r="A257" s="17" t="str">
        <f ca="1">IFERROR(__xludf.DUMMYFUNCTION("""COMPUTED_VALUE"""),"GCSE")</f>
        <v>GCSE</v>
      </c>
      <c r="B257" s="17">
        <f ca="1">IFERROR(__xludf.DUMMYFUNCTION("""COMPUTED_VALUE"""),11)</f>
        <v>11</v>
      </c>
      <c r="C257" s="19" t="str">
        <f ca="1">IFERROR(__xludf.DUMMYFUNCTION("""COMPUTED_VALUE"""),"Impacts of technology")</f>
        <v>Impacts of technology</v>
      </c>
      <c r="D257" s="17">
        <f ca="1">IFERROR(__xludf.DUMMYFUNCTION("""COMPUTED_VALUE"""),6)</f>
        <v>6</v>
      </c>
      <c r="E257" s="19" t="str">
        <f ca="1">IFERROR(__xludf.DUMMYFUNCTION("""COMPUTED_VALUE"""),"Explain the environmental effects of the use of technology")</f>
        <v>Explain the environmental effects of the use of technology</v>
      </c>
      <c r="F257" s="30" t="b">
        <f ca="1">IFERROR(__xludf.DUMMYFUNCTION("""COMPUTED_VALUE"""),TRUE)</f>
        <v>1</v>
      </c>
      <c r="G257" s="26"/>
      <c r="H257" s="27"/>
      <c r="I257" s="30"/>
      <c r="J257" s="26"/>
      <c r="K257" s="26" t="b">
        <f ca="1">IFERROR(__xludf.DUMMYFUNCTION("""COMPUTED_VALUE"""),TRUE)</f>
        <v>1</v>
      </c>
      <c r="L257" s="26"/>
      <c r="M257" s="26"/>
      <c r="N257" s="26"/>
      <c r="O257" s="26" t="b">
        <f ca="1">IFERROR(__xludf.DUMMYFUNCTION("""COMPUTED_VALUE"""),TRUE)</f>
        <v>1</v>
      </c>
      <c r="P257" s="26"/>
      <c r="Q257" s="26"/>
      <c r="R257" s="27"/>
      <c r="S257" s="28" t="s">
        <v>93</v>
      </c>
      <c r="T257" s="28" t="s">
        <v>98</v>
      </c>
      <c r="U257" s="28" t="s">
        <v>97</v>
      </c>
      <c r="V257" s="29" t="s">
        <v>100</v>
      </c>
      <c r="W257" s="67"/>
    </row>
    <row r="258" spans="1:23" ht="28">
      <c r="A258" s="17" t="str">
        <f ca="1">IFERROR(__xludf.DUMMYFUNCTION("""COMPUTED_VALUE"""),"GCSE")</f>
        <v>GCSE</v>
      </c>
      <c r="B258" s="17">
        <f ca="1">IFERROR(__xludf.DUMMYFUNCTION("""COMPUTED_VALUE"""),11)</f>
        <v>11</v>
      </c>
      <c r="C258" s="19" t="str">
        <f ca="1">IFERROR(__xludf.DUMMYFUNCTION("""COMPUTED_VALUE"""),"Impacts of technology")</f>
        <v>Impacts of technology</v>
      </c>
      <c r="D258" s="17">
        <f ca="1">IFERROR(__xludf.DUMMYFUNCTION("""COMPUTED_VALUE"""),7)</f>
        <v>7</v>
      </c>
      <c r="E258" s="19" t="str">
        <f ca="1">IFERROR(__xludf.DUMMYFUNCTION("""COMPUTED_VALUE"""),"Explain the ethical impact of using algorithms to make decisions")</f>
        <v>Explain the ethical impact of using algorithms to make decisions</v>
      </c>
      <c r="F258" s="30" t="b">
        <f ca="1">IFERROR(__xludf.DUMMYFUNCTION("""COMPUTED_VALUE"""),TRUE)</f>
        <v>1</v>
      </c>
      <c r="G258" s="26"/>
      <c r="H258" s="27"/>
      <c r="I258" s="30" t="b">
        <f ca="1">IFERROR(__xludf.DUMMYFUNCTION("""COMPUTED_VALUE"""),TRUE)</f>
        <v>1</v>
      </c>
      <c r="J258" s="26"/>
      <c r="K258" s="26"/>
      <c r="L258" s="26"/>
      <c r="M258" s="26"/>
      <c r="N258" s="26"/>
      <c r="O258" s="26" t="b">
        <f ca="1">IFERROR(__xludf.DUMMYFUNCTION("""COMPUTED_VALUE"""),TRUE)</f>
        <v>1</v>
      </c>
      <c r="P258" s="26"/>
      <c r="Q258" s="26"/>
      <c r="R258" s="27"/>
      <c r="S258" s="28" t="s">
        <v>93</v>
      </c>
      <c r="T258" s="28"/>
      <c r="U258" s="28" t="s">
        <v>97</v>
      </c>
      <c r="V258" s="29" t="s">
        <v>100</v>
      </c>
      <c r="W258" s="67"/>
    </row>
    <row r="259" spans="1:23" ht="42">
      <c r="A259" s="17" t="str">
        <f ca="1">IFERROR(__xludf.DUMMYFUNCTION("""COMPUTED_VALUE"""),"GCSE")</f>
        <v>GCSE</v>
      </c>
      <c r="B259" s="17">
        <f ca="1">IFERROR(__xludf.DUMMYFUNCTION("""COMPUTED_VALUE"""),11)</f>
        <v>11</v>
      </c>
      <c r="C259" s="19" t="str">
        <f ca="1">IFERROR(__xludf.DUMMYFUNCTION("""COMPUTED_VALUE"""),"Impacts of technology")</f>
        <v>Impacts of technology</v>
      </c>
      <c r="D259" s="17">
        <f ca="1">IFERROR(__xludf.DUMMYFUNCTION("""COMPUTED_VALUE"""),7)</f>
        <v>7</v>
      </c>
      <c r="E259" s="19" t="str">
        <f ca="1">IFERROR(__xludf.DUMMYFUNCTION("""COMPUTED_VALUE"""),"Explain the ethical issues surrounding the use of AI in society")</f>
        <v>Explain the ethical issues surrounding the use of AI in society</v>
      </c>
      <c r="F259" s="30" t="b">
        <f ca="1">IFERROR(__xludf.DUMMYFUNCTION("""COMPUTED_VALUE"""),TRUE)</f>
        <v>1</v>
      </c>
      <c r="G259" s="26"/>
      <c r="H259" s="27"/>
      <c r="I259" s="30" t="b">
        <f ca="1">IFERROR(__xludf.DUMMYFUNCTION("""COMPUTED_VALUE"""),TRUE)</f>
        <v>1</v>
      </c>
      <c r="J259" s="26"/>
      <c r="K259" s="26"/>
      <c r="L259" s="26"/>
      <c r="M259" s="26"/>
      <c r="N259" s="26"/>
      <c r="O259" s="26" t="b">
        <f ca="1">IFERROR(__xludf.DUMMYFUNCTION("""COMPUTED_VALUE"""),TRUE)</f>
        <v>1</v>
      </c>
      <c r="P259" s="26"/>
      <c r="Q259" s="26" t="b">
        <f ca="1">IFERROR(__xludf.DUMMYFUNCTION("""COMPUTED_VALUE"""),TRUE)</f>
        <v>1</v>
      </c>
      <c r="R259" s="27"/>
      <c r="S259" s="28" t="s">
        <v>93</v>
      </c>
      <c r="T259" s="28" t="s">
        <v>98</v>
      </c>
      <c r="U259" s="28" t="s">
        <v>97</v>
      </c>
      <c r="V259" s="29" t="s">
        <v>100</v>
      </c>
      <c r="W259" s="67"/>
    </row>
    <row r="260" spans="1:23" ht="42">
      <c r="A260" s="17" t="str">
        <f ca="1">IFERROR(__xludf.DUMMYFUNCTION("""COMPUTED_VALUE"""),"GCSE")</f>
        <v>GCSE</v>
      </c>
      <c r="B260" s="17">
        <f ca="1">IFERROR(__xludf.DUMMYFUNCTION("""COMPUTED_VALUE"""),11)</f>
        <v>11</v>
      </c>
      <c r="C260" s="19" t="str">
        <f ca="1">IFERROR(__xludf.DUMMYFUNCTION("""COMPUTED_VALUE"""),"Impacts of technology")</f>
        <v>Impacts of technology</v>
      </c>
      <c r="D260" s="17">
        <f ca="1">IFERROR(__xludf.DUMMYFUNCTION("""COMPUTED_VALUE"""),8)</f>
        <v>8</v>
      </c>
      <c r="E260" s="19" t="str">
        <f ca="1">IFERROR(__xludf.DUMMYFUNCTION("""COMPUTED_VALUE"""),"Demonstrate knowledge of the five impacts of technology")</f>
        <v>Demonstrate knowledge of the five impacts of technology</v>
      </c>
      <c r="F260" s="30" t="b">
        <f ca="1">IFERROR(__xludf.DUMMYFUNCTION("""COMPUTED_VALUE"""),TRUE)</f>
        <v>1</v>
      </c>
      <c r="G260" s="26"/>
      <c r="H260" s="27"/>
      <c r="I260" s="30"/>
      <c r="J260" s="26"/>
      <c r="K260" s="26"/>
      <c r="L260" s="26"/>
      <c r="M260" s="26"/>
      <c r="N260" s="26"/>
      <c r="O260" s="26" t="b">
        <f ca="1">IFERROR(__xludf.DUMMYFUNCTION("""COMPUTED_VALUE"""),TRUE)</f>
        <v>1</v>
      </c>
      <c r="P260" s="26"/>
      <c r="Q260" s="26"/>
      <c r="R260" s="27"/>
      <c r="S260" s="28" t="s">
        <v>93</v>
      </c>
      <c r="T260" s="28" t="s">
        <v>98</v>
      </c>
      <c r="U260" s="28" t="s">
        <v>97</v>
      </c>
      <c r="V260" s="29" t="s">
        <v>100</v>
      </c>
      <c r="W260" s="67"/>
    </row>
    <row r="261" spans="1:23" ht="28">
      <c r="A261" s="17" t="str">
        <f ca="1">IFERROR(__xludf.DUMMYFUNCTION("""COMPUTED_VALUE"""),"GCSE")</f>
        <v>GCSE</v>
      </c>
      <c r="B261" s="17">
        <f ca="1">IFERROR(__xludf.DUMMYFUNCTION("""COMPUTED_VALUE"""),12)</f>
        <v>12</v>
      </c>
      <c r="C261" s="19" t="str">
        <f ca="1">IFERROR(__xludf.DUMMYFUNCTION("""COMPUTED_VALUE"""),"Computer networks")</f>
        <v>Computer networks</v>
      </c>
      <c r="D261" s="17">
        <f ca="1">IFERROR(__xludf.DUMMYFUNCTION("""COMPUTED_VALUE"""),1)</f>
        <v>1</v>
      </c>
      <c r="E261" s="19" t="str">
        <f ca="1">IFERROR(__xludf.DUMMYFUNCTION("""COMPUTED_VALUE"""),"Define a computer network")</f>
        <v>Define a computer network</v>
      </c>
      <c r="F261" s="30" t="b">
        <f ca="1">IFERROR(__xludf.DUMMYFUNCTION("""COMPUTED_VALUE"""),TRUE)</f>
        <v>1</v>
      </c>
      <c r="G261" s="26"/>
      <c r="H261" s="27"/>
      <c r="I261" s="30"/>
      <c r="J261" s="26"/>
      <c r="K261" s="26"/>
      <c r="L261" s="26"/>
      <c r="M261" s="26"/>
      <c r="N261" s="26"/>
      <c r="O261" s="26"/>
      <c r="P261" s="26" t="b">
        <f ca="1">IFERROR(__xludf.DUMMYFUNCTION("""COMPUTED_VALUE"""),TRUE)</f>
        <v>1</v>
      </c>
      <c r="Q261" s="26"/>
      <c r="R261" s="27"/>
      <c r="S261" s="28"/>
      <c r="T261" s="28"/>
      <c r="U261" s="28" t="s">
        <v>97</v>
      </c>
      <c r="V261" s="29" t="s">
        <v>100</v>
      </c>
      <c r="W261" s="67"/>
    </row>
    <row r="262" spans="1:23" ht="42">
      <c r="A262" s="17" t="str">
        <f ca="1">IFERROR(__xludf.DUMMYFUNCTION("""COMPUTED_VALUE"""),"GCSE")</f>
        <v>GCSE</v>
      </c>
      <c r="B262" s="17">
        <f ca="1">IFERROR(__xludf.DUMMYFUNCTION("""COMPUTED_VALUE"""),12)</f>
        <v>12</v>
      </c>
      <c r="C262" s="19" t="str">
        <f ca="1">IFERROR(__xludf.DUMMYFUNCTION("""COMPUTED_VALUE"""),"Computer networks")</f>
        <v>Computer networks</v>
      </c>
      <c r="D262" s="17">
        <f ca="1">IFERROR(__xludf.DUMMYFUNCTION("""COMPUTED_VALUE"""),1)</f>
        <v>1</v>
      </c>
      <c r="E262" s="19" t="str">
        <f ca="1">IFERROR(__xludf.DUMMYFUNCTION("""COMPUTED_VALUE"""),"Describe the role of a computer in a peer-to-peer network")</f>
        <v>Describe the role of a computer in a peer-to-peer network</v>
      </c>
      <c r="F262" s="30" t="b">
        <f ca="1">IFERROR(__xludf.DUMMYFUNCTION("""COMPUTED_VALUE"""),TRUE)</f>
        <v>1</v>
      </c>
      <c r="G262" s="26"/>
      <c r="H262" s="27"/>
      <c r="I262" s="30"/>
      <c r="J262" s="26"/>
      <c r="K262" s="26"/>
      <c r="L262" s="26"/>
      <c r="M262" s="26"/>
      <c r="N262" s="26"/>
      <c r="O262" s="26"/>
      <c r="P262" s="26" t="b">
        <f ca="1">IFERROR(__xludf.DUMMYFUNCTION("""COMPUTED_VALUE"""),TRUE)</f>
        <v>1</v>
      </c>
      <c r="Q262" s="26"/>
      <c r="R262" s="27"/>
      <c r="S262" s="28" t="s">
        <v>93</v>
      </c>
      <c r="T262" s="28" t="s">
        <v>98</v>
      </c>
      <c r="U262" s="28"/>
      <c r="V262" s="29"/>
      <c r="W262" s="67"/>
    </row>
    <row r="263" spans="1:23" ht="42">
      <c r="A263" s="17" t="str">
        <f ca="1">IFERROR(__xludf.DUMMYFUNCTION("""COMPUTED_VALUE"""),"GCSE")</f>
        <v>GCSE</v>
      </c>
      <c r="B263" s="17">
        <f ca="1">IFERROR(__xludf.DUMMYFUNCTION("""COMPUTED_VALUE"""),12)</f>
        <v>12</v>
      </c>
      <c r="C263" s="19" t="str">
        <f ca="1">IFERROR(__xludf.DUMMYFUNCTION("""COMPUTED_VALUE"""),"Computer networks")</f>
        <v>Computer networks</v>
      </c>
      <c r="D263" s="17">
        <f ca="1">IFERROR(__xludf.DUMMYFUNCTION("""COMPUTED_VALUE"""),1)</f>
        <v>1</v>
      </c>
      <c r="E263" s="19" t="str">
        <f ca="1">IFERROR(__xludf.DUMMYFUNCTION("""COMPUTED_VALUE"""),"Discuss the advantages and disadvantages of computer networks")</f>
        <v>Discuss the advantages and disadvantages of computer networks</v>
      </c>
      <c r="F263" s="30" t="b">
        <f ca="1">IFERROR(__xludf.DUMMYFUNCTION("""COMPUTED_VALUE"""),TRUE)</f>
        <v>1</v>
      </c>
      <c r="G263" s="26"/>
      <c r="H263" s="27"/>
      <c r="I263" s="30"/>
      <c r="J263" s="26"/>
      <c r="K263" s="26"/>
      <c r="L263" s="26"/>
      <c r="M263" s="26"/>
      <c r="N263" s="26"/>
      <c r="O263" s="26"/>
      <c r="P263" s="26" t="b">
        <f ca="1">IFERROR(__xludf.DUMMYFUNCTION("""COMPUTED_VALUE"""),TRUE)</f>
        <v>1</v>
      </c>
      <c r="Q263" s="26"/>
      <c r="R263" s="27"/>
      <c r="S263" s="28" t="s">
        <v>93</v>
      </c>
      <c r="T263" s="28" t="s">
        <v>98</v>
      </c>
      <c r="U263" s="28"/>
      <c r="V263" s="29" t="s">
        <v>100</v>
      </c>
      <c r="W263" s="67"/>
    </row>
    <row r="264" spans="1:23" ht="42">
      <c r="A264" s="17" t="str">
        <f ca="1">IFERROR(__xludf.DUMMYFUNCTION("""COMPUTED_VALUE"""),"GCSE")</f>
        <v>GCSE</v>
      </c>
      <c r="B264" s="17">
        <f ca="1">IFERROR(__xludf.DUMMYFUNCTION("""COMPUTED_VALUE"""),12)</f>
        <v>12</v>
      </c>
      <c r="C264" s="19" t="str">
        <f ca="1">IFERROR(__xludf.DUMMYFUNCTION("""COMPUTED_VALUE"""),"Computer networks")</f>
        <v>Computer networks</v>
      </c>
      <c r="D264" s="17">
        <f ca="1">IFERROR(__xludf.DUMMYFUNCTION("""COMPUTED_VALUE"""),2)</f>
        <v>2</v>
      </c>
      <c r="E264" s="19" t="str">
        <f ca="1">IFERROR(__xludf.DUMMYFUNCTION("""COMPUTED_VALUE"""),"Describe the purpose of a PAN, LAN, and a WAN")</f>
        <v>Describe the purpose of a PAN, LAN, and a WAN</v>
      </c>
      <c r="F264" s="30" t="b">
        <f ca="1">IFERROR(__xludf.DUMMYFUNCTION("""COMPUTED_VALUE"""),TRUE)</f>
        <v>1</v>
      </c>
      <c r="G264" s="26"/>
      <c r="H264" s="27"/>
      <c r="I264" s="30"/>
      <c r="J264" s="26"/>
      <c r="K264" s="26"/>
      <c r="L264" s="26"/>
      <c r="M264" s="26"/>
      <c r="N264" s="26"/>
      <c r="O264" s="26"/>
      <c r="P264" s="26" t="b">
        <f ca="1">IFERROR(__xludf.DUMMYFUNCTION("""COMPUTED_VALUE"""),TRUE)</f>
        <v>1</v>
      </c>
      <c r="Q264" s="26"/>
      <c r="R264" s="27"/>
      <c r="S264" s="28" t="s">
        <v>93</v>
      </c>
      <c r="T264" s="28" t="s">
        <v>98</v>
      </c>
      <c r="U264" s="28"/>
      <c r="V264" s="29" t="s">
        <v>100</v>
      </c>
      <c r="W264" s="67"/>
    </row>
    <row r="265" spans="1:23" ht="42">
      <c r="A265" s="17" t="str">
        <f ca="1">IFERROR(__xludf.DUMMYFUNCTION("""COMPUTED_VALUE"""),"GCSE")</f>
        <v>GCSE</v>
      </c>
      <c r="B265" s="17">
        <f ca="1">IFERROR(__xludf.DUMMYFUNCTION("""COMPUTED_VALUE"""),12)</f>
        <v>12</v>
      </c>
      <c r="C265" s="19" t="str">
        <f ca="1">IFERROR(__xludf.DUMMYFUNCTION("""COMPUTED_VALUE"""),"Computer networks")</f>
        <v>Computer networks</v>
      </c>
      <c r="D265" s="17">
        <f ca="1">IFERROR(__xludf.DUMMYFUNCTION("""COMPUTED_VALUE"""),2)</f>
        <v>2</v>
      </c>
      <c r="E265" s="19" t="str">
        <f ca="1">IFERROR(__xludf.DUMMYFUNCTION("""COMPUTED_VALUE"""),"Describe the role of a computer in a client–server network")</f>
        <v>Describe the role of a computer in a client–server network</v>
      </c>
      <c r="F265" s="30" t="b">
        <f ca="1">IFERROR(__xludf.DUMMYFUNCTION("""COMPUTED_VALUE"""),TRUE)</f>
        <v>1</v>
      </c>
      <c r="G265" s="26"/>
      <c r="H265" s="27"/>
      <c r="I265" s="30"/>
      <c r="J265" s="26"/>
      <c r="K265" s="26"/>
      <c r="L265" s="26"/>
      <c r="M265" s="26"/>
      <c r="N265" s="26"/>
      <c r="O265" s="26"/>
      <c r="P265" s="26" t="b">
        <f ca="1">IFERROR(__xludf.DUMMYFUNCTION("""COMPUTED_VALUE"""),TRUE)</f>
        <v>1</v>
      </c>
      <c r="Q265" s="26"/>
      <c r="R265" s="27"/>
      <c r="S265" s="28" t="s">
        <v>93</v>
      </c>
      <c r="T265" s="28" t="s">
        <v>98</v>
      </c>
      <c r="U265" s="28"/>
      <c r="V265" s="29" t="s">
        <v>100</v>
      </c>
      <c r="W265" s="67"/>
    </row>
    <row r="266" spans="1:23" ht="42">
      <c r="A266" s="17" t="str">
        <f ca="1">IFERROR(__xludf.DUMMYFUNCTION("""COMPUTED_VALUE"""),"GCSE")</f>
        <v>GCSE</v>
      </c>
      <c r="B266" s="17">
        <f ca="1">IFERROR(__xludf.DUMMYFUNCTION("""COMPUTED_VALUE"""),12)</f>
        <v>12</v>
      </c>
      <c r="C266" s="19" t="str">
        <f ca="1">IFERROR(__xludf.DUMMYFUNCTION("""COMPUTED_VALUE"""),"Computer networks")</f>
        <v>Computer networks</v>
      </c>
      <c r="D266" s="17">
        <f ca="1">IFERROR(__xludf.DUMMYFUNCTION("""COMPUTED_VALUE"""),3)</f>
        <v>3</v>
      </c>
      <c r="E266" s="19" t="str">
        <f ca="1">IFERROR(__xludf.DUMMYFUNCTION("""COMPUTED_VALUE"""),"Define a MAC address")</f>
        <v>Define a MAC address</v>
      </c>
      <c r="F266" s="30" t="b">
        <f ca="1">IFERROR(__xludf.DUMMYFUNCTION("""COMPUTED_VALUE"""),TRUE)</f>
        <v>1</v>
      </c>
      <c r="G266" s="26"/>
      <c r="H266" s="27"/>
      <c r="I266" s="30"/>
      <c r="J266" s="26"/>
      <c r="K266" s="26"/>
      <c r="L266" s="26"/>
      <c r="M266" s="26"/>
      <c r="N266" s="26"/>
      <c r="O266" s="26"/>
      <c r="P266" s="26" t="b">
        <f ca="1">IFERROR(__xludf.DUMMYFUNCTION("""COMPUTED_VALUE"""),TRUE)</f>
        <v>1</v>
      </c>
      <c r="Q266" s="26"/>
      <c r="R266" s="27"/>
      <c r="S266" s="28" t="s">
        <v>93</v>
      </c>
      <c r="T266" s="28" t="s">
        <v>98</v>
      </c>
      <c r="U266" s="28" t="s">
        <v>97</v>
      </c>
      <c r="V266" s="29" t="s">
        <v>100</v>
      </c>
      <c r="W266" s="67"/>
    </row>
    <row r="267" spans="1:23" ht="42">
      <c r="A267" s="17" t="str">
        <f ca="1">IFERROR(__xludf.DUMMYFUNCTION("""COMPUTED_VALUE"""),"GCSE")</f>
        <v>GCSE</v>
      </c>
      <c r="B267" s="17">
        <f ca="1">IFERROR(__xludf.DUMMYFUNCTION("""COMPUTED_VALUE"""),12)</f>
        <v>12</v>
      </c>
      <c r="C267" s="19" t="str">
        <f ca="1">IFERROR(__xludf.DUMMYFUNCTION("""COMPUTED_VALUE"""),"Computer networks")</f>
        <v>Computer networks</v>
      </c>
      <c r="D267" s="17">
        <f ca="1">IFERROR(__xludf.DUMMYFUNCTION("""COMPUTED_VALUE"""),3)</f>
        <v>3</v>
      </c>
      <c r="E267" s="19" t="str">
        <f ca="1">IFERROR(__xludf.DUMMYFUNCTION("""COMPUTED_VALUE"""),"Describe the tasks performed by the network hardware: wireless access point, router, switch, hub, NIC, and bridge")</f>
        <v>Describe the tasks performed by the network hardware: wireless access point, router, switch, hub, NIC, and bridge</v>
      </c>
      <c r="F267" s="30" t="b">
        <f ca="1">IFERROR(__xludf.DUMMYFUNCTION("""COMPUTED_VALUE"""),TRUE)</f>
        <v>1</v>
      </c>
      <c r="G267" s="26"/>
      <c r="H267" s="27"/>
      <c r="I267" s="30"/>
      <c r="J267" s="26"/>
      <c r="K267" s="26"/>
      <c r="L267" s="26"/>
      <c r="M267" s="26"/>
      <c r="N267" s="26"/>
      <c r="O267" s="26"/>
      <c r="P267" s="26" t="b">
        <f ca="1">IFERROR(__xludf.DUMMYFUNCTION("""COMPUTED_VALUE"""),TRUE)</f>
        <v>1</v>
      </c>
      <c r="Q267" s="26"/>
      <c r="R267" s="27"/>
      <c r="S267" s="28" t="s">
        <v>93</v>
      </c>
      <c r="T267" s="28" t="s">
        <v>98</v>
      </c>
      <c r="U267" s="28"/>
      <c r="V267" s="29" t="s">
        <v>100</v>
      </c>
      <c r="W267" s="67"/>
    </row>
    <row r="268" spans="1:23" ht="42">
      <c r="A268" s="17" t="str">
        <f ca="1">IFERROR(__xludf.DUMMYFUNCTION("""COMPUTED_VALUE"""),"GCSE")</f>
        <v>GCSE</v>
      </c>
      <c r="B268" s="17">
        <f ca="1">IFERROR(__xludf.DUMMYFUNCTION("""COMPUTED_VALUE"""),12)</f>
        <v>12</v>
      </c>
      <c r="C268" s="19" t="str">
        <f ca="1">IFERROR(__xludf.DUMMYFUNCTION("""COMPUTED_VALUE"""),"Computer networks")</f>
        <v>Computer networks</v>
      </c>
      <c r="D268" s="17">
        <f ca="1">IFERROR(__xludf.DUMMYFUNCTION("""COMPUTED_VALUE"""),4)</f>
        <v>4</v>
      </c>
      <c r="E268" s="19" t="str">
        <f ca="1">IFERROR(__xludf.DUMMYFUNCTION("""COMPUTED_VALUE"""),"Describe the advantages and disadvantages of the star, bus, mesh, and ring topologies")</f>
        <v>Describe the advantages and disadvantages of the star, bus, mesh, and ring topologies</v>
      </c>
      <c r="F268" s="30" t="b">
        <f ca="1">IFERROR(__xludf.DUMMYFUNCTION("""COMPUTED_VALUE"""),TRUE)</f>
        <v>1</v>
      </c>
      <c r="G268" s="26"/>
      <c r="H268" s="27"/>
      <c r="I268" s="30"/>
      <c r="J268" s="26"/>
      <c r="K268" s="26"/>
      <c r="L268" s="26"/>
      <c r="M268" s="26"/>
      <c r="N268" s="26"/>
      <c r="O268" s="26"/>
      <c r="P268" s="26" t="b">
        <f ca="1">IFERROR(__xludf.DUMMYFUNCTION("""COMPUTED_VALUE"""),TRUE)</f>
        <v>1</v>
      </c>
      <c r="Q268" s="26"/>
      <c r="R268" s="27"/>
      <c r="S268" s="28" t="s">
        <v>93</v>
      </c>
      <c r="T268" s="28" t="s">
        <v>98</v>
      </c>
      <c r="U268" s="28" t="s">
        <v>97</v>
      </c>
      <c r="V268" s="29" t="s">
        <v>100</v>
      </c>
      <c r="W268" s="67"/>
    </row>
    <row r="269" spans="1:23" ht="42">
      <c r="A269" s="17" t="str">
        <f ca="1">IFERROR(__xludf.DUMMYFUNCTION("""COMPUTED_VALUE"""),"GCSE")</f>
        <v>GCSE</v>
      </c>
      <c r="B269" s="17">
        <f ca="1">IFERROR(__xludf.DUMMYFUNCTION("""COMPUTED_VALUE"""),12)</f>
        <v>12</v>
      </c>
      <c r="C269" s="19" t="str">
        <f ca="1">IFERROR(__xludf.DUMMYFUNCTION("""COMPUTED_VALUE"""),"Computer networks")</f>
        <v>Computer networks</v>
      </c>
      <c r="D269" s="17">
        <f ca="1">IFERROR(__xludf.DUMMYFUNCTION("""COMPUTED_VALUE"""),4)</f>
        <v>4</v>
      </c>
      <c r="E269" s="19" t="str">
        <f ca="1">IFERROR(__xludf.DUMMYFUNCTION("""COMPUTED_VALUE"""),"Draw and describe a star, bus, mesh, and ring topology")</f>
        <v>Draw and describe a star, bus, mesh, and ring topology</v>
      </c>
      <c r="F269" s="30" t="b">
        <f ca="1">IFERROR(__xludf.DUMMYFUNCTION("""COMPUTED_VALUE"""),TRUE)</f>
        <v>1</v>
      </c>
      <c r="G269" s="26"/>
      <c r="H269" s="27"/>
      <c r="I269" s="30"/>
      <c r="J269" s="26"/>
      <c r="K269" s="26"/>
      <c r="L269" s="26"/>
      <c r="M269" s="26"/>
      <c r="N269" s="26"/>
      <c r="O269" s="26"/>
      <c r="P269" s="26" t="b">
        <f ca="1">IFERROR(__xludf.DUMMYFUNCTION("""COMPUTED_VALUE"""),TRUE)</f>
        <v>1</v>
      </c>
      <c r="Q269" s="26"/>
      <c r="R269" s="27"/>
      <c r="S269" s="28" t="s">
        <v>93</v>
      </c>
      <c r="T269" s="28" t="s">
        <v>98</v>
      </c>
      <c r="U269" s="28" t="s">
        <v>97</v>
      </c>
      <c r="V269" s="29" t="s">
        <v>100</v>
      </c>
      <c r="W269" s="67"/>
    </row>
    <row r="270" spans="1:23" ht="28">
      <c r="A270" s="17" t="str">
        <f ca="1">IFERROR(__xludf.DUMMYFUNCTION("""COMPUTED_VALUE"""),"GCSE")</f>
        <v>GCSE</v>
      </c>
      <c r="B270" s="17">
        <f ca="1">IFERROR(__xludf.DUMMYFUNCTION("""COMPUTED_VALUE"""),12)</f>
        <v>12</v>
      </c>
      <c r="C270" s="19" t="str">
        <f ca="1">IFERROR(__xludf.DUMMYFUNCTION("""COMPUTED_VALUE"""),"Computer networks")</f>
        <v>Computer networks</v>
      </c>
      <c r="D270" s="17">
        <f ca="1">IFERROR(__xludf.DUMMYFUNCTION("""COMPUTED_VALUE"""),4)</f>
        <v>4</v>
      </c>
      <c r="E270" s="19" t="str">
        <f ca="1">IFERROR(__xludf.DUMMYFUNCTION("""COMPUTED_VALUE"""),"Select an appropriate topology for a given scenario")</f>
        <v>Select an appropriate topology for a given scenario</v>
      </c>
      <c r="F270" s="30" t="b">
        <f ca="1">IFERROR(__xludf.DUMMYFUNCTION("""COMPUTED_VALUE"""),TRUE)</f>
        <v>1</v>
      </c>
      <c r="G270" s="26"/>
      <c r="H270" s="27"/>
      <c r="I270" s="30"/>
      <c r="J270" s="26"/>
      <c r="K270" s="26"/>
      <c r="L270" s="26"/>
      <c r="M270" s="26"/>
      <c r="N270" s="26"/>
      <c r="O270" s="26"/>
      <c r="P270" s="26" t="b">
        <f ca="1">IFERROR(__xludf.DUMMYFUNCTION("""COMPUTED_VALUE"""),TRUE)</f>
        <v>1</v>
      </c>
      <c r="Q270" s="26"/>
      <c r="R270" s="27"/>
      <c r="S270" s="28" t="s">
        <v>93</v>
      </c>
      <c r="T270" s="28"/>
      <c r="U270" s="28" t="s">
        <v>97</v>
      </c>
      <c r="V270" s="29" t="s">
        <v>100</v>
      </c>
      <c r="W270" s="67"/>
    </row>
    <row r="271" spans="1:23" ht="28">
      <c r="A271" s="17" t="str">
        <f ca="1">IFERROR(__xludf.DUMMYFUNCTION("""COMPUTED_VALUE"""),"GCSE")</f>
        <v>GCSE</v>
      </c>
      <c r="B271" s="17">
        <f ca="1">IFERROR(__xludf.DUMMYFUNCTION("""COMPUTED_VALUE"""),12)</f>
        <v>12</v>
      </c>
      <c r="C271" s="19" t="str">
        <f ca="1">IFERROR(__xludf.DUMMYFUNCTION("""COMPUTED_VALUE"""),"Computer networks")</f>
        <v>Computer networks</v>
      </c>
      <c r="D271" s="17">
        <f ca="1">IFERROR(__xludf.DUMMYFUNCTION("""COMPUTED_VALUE"""),5)</f>
        <v>5</v>
      </c>
      <c r="E271" s="19" t="str">
        <f ca="1">IFERROR(__xludf.DUMMYFUNCTION("""COMPUTED_VALUE"""),"Define a wired and a wireless network")</f>
        <v>Define a wired and a wireless network</v>
      </c>
      <c r="F271" s="30" t="b">
        <f ca="1">IFERROR(__xludf.DUMMYFUNCTION("""COMPUTED_VALUE"""),TRUE)</f>
        <v>1</v>
      </c>
      <c r="G271" s="26"/>
      <c r="H271" s="27"/>
      <c r="I271" s="30"/>
      <c r="J271" s="26"/>
      <c r="K271" s="26"/>
      <c r="L271" s="26"/>
      <c r="M271" s="26"/>
      <c r="N271" s="26"/>
      <c r="O271" s="26"/>
      <c r="P271" s="26" t="b">
        <f ca="1">IFERROR(__xludf.DUMMYFUNCTION("""COMPUTED_VALUE"""),TRUE)</f>
        <v>1</v>
      </c>
      <c r="Q271" s="26"/>
      <c r="R271" s="27"/>
      <c r="S271" s="28" t="s">
        <v>93</v>
      </c>
      <c r="T271" s="28"/>
      <c r="U271" s="28"/>
      <c r="V271" s="29"/>
      <c r="W271" s="67"/>
    </row>
    <row r="272" spans="1:23" ht="28">
      <c r="A272" s="17" t="str">
        <f ca="1">IFERROR(__xludf.DUMMYFUNCTION("""COMPUTED_VALUE"""),"GCSE")</f>
        <v>GCSE</v>
      </c>
      <c r="B272" s="17">
        <f ca="1">IFERROR(__xludf.DUMMYFUNCTION("""COMPUTED_VALUE"""),12)</f>
        <v>12</v>
      </c>
      <c r="C272" s="19" t="str">
        <f ca="1">IFERROR(__xludf.DUMMYFUNCTION("""COMPUTED_VALUE"""),"Computer networks")</f>
        <v>Computer networks</v>
      </c>
      <c r="D272" s="17">
        <f ca="1">IFERROR(__xludf.DUMMYFUNCTION("""COMPUTED_VALUE"""),5)</f>
        <v>5</v>
      </c>
      <c r="E272" s="19" t="str">
        <f ca="1">IFERROR(__xludf.DUMMYFUNCTION("""COMPUTED_VALUE"""),"Define transmission media")</f>
        <v>Define transmission media</v>
      </c>
      <c r="F272" s="30" t="b">
        <f ca="1">IFERROR(__xludf.DUMMYFUNCTION("""COMPUTED_VALUE"""),TRUE)</f>
        <v>1</v>
      </c>
      <c r="G272" s="26"/>
      <c r="H272" s="27"/>
      <c r="I272" s="30"/>
      <c r="J272" s="26"/>
      <c r="K272" s="26"/>
      <c r="L272" s="26"/>
      <c r="M272" s="26"/>
      <c r="N272" s="26"/>
      <c r="O272" s="26"/>
      <c r="P272" s="26" t="b">
        <f ca="1">IFERROR(__xludf.DUMMYFUNCTION("""COMPUTED_VALUE"""),TRUE)</f>
        <v>1</v>
      </c>
      <c r="Q272" s="26"/>
      <c r="R272" s="27"/>
      <c r="S272" s="28" t="s">
        <v>70</v>
      </c>
      <c r="T272" s="28" t="s">
        <v>78</v>
      </c>
      <c r="U272" s="28" t="s">
        <v>7</v>
      </c>
      <c r="V272" s="29" t="s">
        <v>95</v>
      </c>
      <c r="W272" s="67"/>
    </row>
    <row r="273" spans="1:23" ht="28">
      <c r="A273" s="17" t="str">
        <f ca="1">IFERROR(__xludf.DUMMYFUNCTION("""COMPUTED_VALUE"""),"GCSE")</f>
        <v>GCSE</v>
      </c>
      <c r="B273" s="17">
        <f ca="1">IFERROR(__xludf.DUMMYFUNCTION("""COMPUTED_VALUE"""),12)</f>
        <v>12</v>
      </c>
      <c r="C273" s="19" t="str">
        <f ca="1">IFERROR(__xludf.DUMMYFUNCTION("""COMPUTED_VALUE"""),"Computer networks")</f>
        <v>Computer networks</v>
      </c>
      <c r="D273" s="17">
        <f ca="1">IFERROR(__xludf.DUMMYFUNCTION("""COMPUTED_VALUE"""),5)</f>
        <v>5</v>
      </c>
      <c r="E273" s="19" t="str">
        <f ca="1">IFERROR(__xludf.DUMMYFUNCTION("""COMPUTED_VALUE"""),"Describe Bluetooth as a mode of connection")</f>
        <v>Describe Bluetooth as a mode of connection</v>
      </c>
      <c r="F273" s="30" t="b">
        <f ca="1">IFERROR(__xludf.DUMMYFUNCTION("""COMPUTED_VALUE"""),TRUE)</f>
        <v>1</v>
      </c>
      <c r="G273" s="26"/>
      <c r="H273" s="27"/>
      <c r="I273" s="30"/>
      <c r="J273" s="26"/>
      <c r="K273" s="26"/>
      <c r="L273" s="26"/>
      <c r="M273" s="26"/>
      <c r="N273" s="26"/>
      <c r="O273" s="26"/>
      <c r="P273" s="26" t="b">
        <f ca="1">IFERROR(__xludf.DUMMYFUNCTION("""COMPUTED_VALUE"""),TRUE)</f>
        <v>1</v>
      </c>
      <c r="Q273" s="26"/>
      <c r="R273" s="27"/>
      <c r="S273" s="28" t="s">
        <v>70</v>
      </c>
      <c r="T273" s="28" t="s">
        <v>78</v>
      </c>
      <c r="U273" s="28"/>
      <c r="V273" s="29" t="s">
        <v>95</v>
      </c>
      <c r="W273" s="67"/>
    </row>
    <row r="274" spans="1:23" ht="28">
      <c r="A274" s="17" t="str">
        <f ca="1">IFERROR(__xludf.DUMMYFUNCTION("""COMPUTED_VALUE"""),"GCSE")</f>
        <v>GCSE</v>
      </c>
      <c r="B274" s="17">
        <f ca="1">IFERROR(__xludf.DUMMYFUNCTION("""COMPUTED_VALUE"""),12)</f>
        <v>12</v>
      </c>
      <c r="C274" s="19" t="str">
        <f ca="1">IFERROR(__xludf.DUMMYFUNCTION("""COMPUTED_VALUE"""),"Computer networks")</f>
        <v>Computer networks</v>
      </c>
      <c r="D274" s="17">
        <f ca="1">IFERROR(__xludf.DUMMYFUNCTION("""COMPUTED_VALUE"""),5)</f>
        <v>5</v>
      </c>
      <c r="E274" s="19" t="str">
        <f ca="1">IFERROR(__xludf.DUMMYFUNCTION("""COMPUTED_VALUE"""),"Describe the attributes of fibre optic and copper cables used in wired networks")</f>
        <v>Describe the attributes of fibre optic and copper cables used in wired networks</v>
      </c>
      <c r="F274" s="30" t="b">
        <f ca="1">IFERROR(__xludf.DUMMYFUNCTION("""COMPUTED_VALUE"""),TRUE)</f>
        <v>1</v>
      </c>
      <c r="G274" s="26"/>
      <c r="H274" s="27"/>
      <c r="I274" s="30"/>
      <c r="J274" s="26"/>
      <c r="K274" s="26"/>
      <c r="L274" s="26"/>
      <c r="M274" s="26"/>
      <c r="N274" s="26"/>
      <c r="O274" s="26"/>
      <c r="P274" s="26" t="b">
        <f ca="1">IFERROR(__xludf.DUMMYFUNCTION("""COMPUTED_VALUE"""),TRUE)</f>
        <v>1</v>
      </c>
      <c r="Q274" s="26"/>
      <c r="R274" s="27"/>
      <c r="S274" s="28" t="s">
        <v>70</v>
      </c>
      <c r="T274" s="28" t="s">
        <v>78</v>
      </c>
      <c r="U274" s="28" t="s">
        <v>7</v>
      </c>
      <c r="V274" s="29" t="s">
        <v>95</v>
      </c>
      <c r="W274" s="67"/>
    </row>
    <row r="275" spans="1:23" ht="28">
      <c r="A275" s="17" t="str">
        <f ca="1">IFERROR(__xludf.DUMMYFUNCTION("""COMPUTED_VALUE"""),"GCSE")</f>
        <v>GCSE</v>
      </c>
      <c r="B275" s="17">
        <f ca="1">IFERROR(__xludf.DUMMYFUNCTION("""COMPUTED_VALUE"""),12)</f>
        <v>12</v>
      </c>
      <c r="C275" s="19" t="str">
        <f ca="1">IFERROR(__xludf.DUMMYFUNCTION("""COMPUTED_VALUE"""),"Computer networks")</f>
        <v>Computer networks</v>
      </c>
      <c r="D275" s="17">
        <f ca="1">IFERROR(__xludf.DUMMYFUNCTION("""COMPUTED_VALUE"""),5)</f>
        <v>5</v>
      </c>
      <c r="E275" s="19" t="str">
        <f ca="1">IFERROR(__xludf.DUMMYFUNCTION("""COMPUTED_VALUE"""),"Discuss the advantages and disadvantages of wireless networks compared to wired networks")</f>
        <v>Discuss the advantages and disadvantages of wireless networks compared to wired networks</v>
      </c>
      <c r="F275" s="30" t="b">
        <f ca="1">IFERROR(__xludf.DUMMYFUNCTION("""COMPUTED_VALUE"""),TRUE)</f>
        <v>1</v>
      </c>
      <c r="G275" s="26"/>
      <c r="H275" s="27"/>
      <c r="I275" s="30"/>
      <c r="J275" s="26"/>
      <c r="K275" s="26"/>
      <c r="L275" s="26"/>
      <c r="M275" s="26"/>
      <c r="N275" s="26"/>
      <c r="O275" s="26"/>
      <c r="P275" s="26" t="b">
        <f ca="1">IFERROR(__xludf.DUMMYFUNCTION("""COMPUTED_VALUE"""),TRUE)</f>
        <v>1</v>
      </c>
      <c r="Q275" s="26"/>
      <c r="R275" s="27"/>
      <c r="S275" s="28" t="s">
        <v>70</v>
      </c>
      <c r="T275" s="28" t="s">
        <v>78</v>
      </c>
      <c r="U275" s="28" t="s">
        <v>7</v>
      </c>
      <c r="V275" s="29" t="s">
        <v>95</v>
      </c>
      <c r="W275" s="67"/>
    </row>
    <row r="276" spans="1:23" ht="42">
      <c r="A276" s="17" t="str">
        <f ca="1">IFERROR(__xludf.DUMMYFUNCTION("""COMPUTED_VALUE"""),"GCSE")</f>
        <v>GCSE</v>
      </c>
      <c r="B276" s="17">
        <f ca="1">IFERROR(__xludf.DUMMYFUNCTION("""COMPUTED_VALUE"""),12)</f>
        <v>12</v>
      </c>
      <c r="C276" s="19" t="str">
        <f ca="1">IFERROR(__xludf.DUMMYFUNCTION("""COMPUTED_VALUE"""),"Computer networks")</f>
        <v>Computer networks</v>
      </c>
      <c r="D276" s="17">
        <f ca="1">IFERROR(__xludf.DUMMYFUNCTION("""COMPUTED_VALUE"""),6)</f>
        <v>6</v>
      </c>
      <c r="E276" s="19" t="str">
        <f ca="1">IFERROR(__xludf.DUMMYFUNCTION("""COMPUTED_VALUE"""),"Describe the factors that affect network performance (bandwidth, range, latency, number of devices)
")</f>
        <v xml:space="preserve">Describe the factors that affect network performance (bandwidth, range, latency, number of devices)
</v>
      </c>
      <c r="F276" s="30" t="b">
        <f ca="1">IFERROR(__xludf.DUMMYFUNCTION("""COMPUTED_VALUE"""),TRUE)</f>
        <v>1</v>
      </c>
      <c r="G276" s="26"/>
      <c r="H276" s="27"/>
      <c r="I276" s="30"/>
      <c r="J276" s="26"/>
      <c r="K276" s="26"/>
      <c r="L276" s="26"/>
      <c r="M276" s="26"/>
      <c r="N276" s="26"/>
      <c r="O276" s="26"/>
      <c r="P276" s="26" t="b">
        <f ca="1">IFERROR(__xludf.DUMMYFUNCTION("""COMPUTED_VALUE"""),TRUE)</f>
        <v>1</v>
      </c>
      <c r="Q276" s="26"/>
      <c r="R276" s="27"/>
      <c r="S276" s="28" t="s">
        <v>70</v>
      </c>
      <c r="T276" s="28" t="s">
        <v>78</v>
      </c>
      <c r="U276" s="28"/>
      <c r="V276" s="29"/>
      <c r="W276" s="67"/>
    </row>
    <row r="277" spans="1:23" ht="42">
      <c r="A277" s="17" t="str">
        <f ca="1">IFERROR(__xludf.DUMMYFUNCTION("""COMPUTED_VALUE"""),"GCSE")</f>
        <v>GCSE</v>
      </c>
      <c r="B277" s="17">
        <f ca="1">IFERROR(__xludf.DUMMYFUNCTION("""COMPUTED_VALUE"""),12)</f>
        <v>12</v>
      </c>
      <c r="C277" s="19" t="str">
        <f ca="1">IFERROR(__xludf.DUMMYFUNCTION("""COMPUTED_VALUE"""),"Computer networks")</f>
        <v>Computer networks</v>
      </c>
      <c r="D277" s="17">
        <f ca="1">IFERROR(__xludf.DUMMYFUNCTION("""COMPUTED_VALUE"""),6)</f>
        <v>6</v>
      </c>
      <c r="E277" s="19" t="str">
        <f ca="1">IFERROR(__xludf.DUMMYFUNCTION("""COMPUTED_VALUE"""),"Determine how network speeds are measured and construct expressions involving file size, transmission rate, and time
")</f>
        <v xml:space="preserve">Determine how network speeds are measured and construct expressions involving file size, transmission rate, and time
</v>
      </c>
      <c r="F277" s="30" t="b">
        <f ca="1">IFERROR(__xludf.DUMMYFUNCTION("""COMPUTED_VALUE"""),TRUE)</f>
        <v>1</v>
      </c>
      <c r="G277" s="26"/>
      <c r="H277" s="27"/>
      <c r="I277" s="30"/>
      <c r="J277" s="26"/>
      <c r="K277" s="26"/>
      <c r="L277" s="26"/>
      <c r="M277" s="26"/>
      <c r="N277" s="26"/>
      <c r="O277" s="26"/>
      <c r="P277" s="26" t="b">
        <f ca="1">IFERROR(__xludf.DUMMYFUNCTION("""COMPUTED_VALUE"""),TRUE)</f>
        <v>1</v>
      </c>
      <c r="Q277" s="26"/>
      <c r="R277" s="27"/>
      <c r="S277" s="28"/>
      <c r="T277" s="28"/>
      <c r="U277" s="28" t="s">
        <v>7</v>
      </c>
      <c r="V277" s="29" t="s">
        <v>95</v>
      </c>
      <c r="W277" s="67"/>
    </row>
    <row r="278" spans="1:23" ht="28">
      <c r="A278" s="17" t="str">
        <f ca="1">IFERROR(__xludf.DUMMYFUNCTION("""COMPUTED_VALUE"""),"GCSE")</f>
        <v>GCSE</v>
      </c>
      <c r="B278" s="17">
        <f ca="1">IFERROR(__xludf.DUMMYFUNCTION("""COMPUTED_VALUE"""),12)</f>
        <v>12</v>
      </c>
      <c r="C278" s="19" t="str">
        <f ca="1">IFERROR(__xludf.DUMMYFUNCTION("""COMPUTED_VALUE"""),"Computer networks")</f>
        <v>Computer networks</v>
      </c>
      <c r="D278" s="17">
        <f ca="1">IFERROR(__xludf.DUMMYFUNCTION("""COMPUTED_VALUE"""),6)</f>
        <v>6</v>
      </c>
      <c r="E278" s="19" t="str">
        <f ca="1">IFERROR(__xludf.DUMMYFUNCTION("""COMPUTED_VALUE"""),"Determine methods of routing traffic on a network and calculation of routing costs")</f>
        <v>Determine methods of routing traffic on a network and calculation of routing costs</v>
      </c>
      <c r="F278" s="30" t="b">
        <f ca="1">IFERROR(__xludf.DUMMYFUNCTION("""COMPUTED_VALUE"""),TRUE)</f>
        <v>1</v>
      </c>
      <c r="G278" s="26"/>
      <c r="H278" s="27"/>
      <c r="I278" s="30"/>
      <c r="J278" s="26"/>
      <c r="K278" s="26"/>
      <c r="L278" s="26"/>
      <c r="M278" s="26"/>
      <c r="N278" s="26"/>
      <c r="O278" s="26"/>
      <c r="P278" s="26" t="b">
        <f ca="1">IFERROR(__xludf.DUMMYFUNCTION("""COMPUTED_VALUE"""),TRUE)</f>
        <v>1</v>
      </c>
      <c r="Q278" s="26"/>
      <c r="R278" s="27"/>
      <c r="S278" s="28" t="s">
        <v>70</v>
      </c>
      <c r="T278" s="28" t="s">
        <v>78</v>
      </c>
      <c r="U278" s="28"/>
      <c r="V278" s="29"/>
      <c r="W278" s="67"/>
    </row>
    <row r="279" spans="1:23" ht="28">
      <c r="A279" s="17" t="str">
        <f ca="1">IFERROR(__xludf.DUMMYFUNCTION("""COMPUTED_VALUE"""),"GCSE")</f>
        <v>GCSE</v>
      </c>
      <c r="B279" s="17">
        <f ca="1">IFERROR(__xludf.DUMMYFUNCTION("""COMPUTED_VALUE"""),12)</f>
        <v>12</v>
      </c>
      <c r="C279" s="19" t="str">
        <f ca="1">IFERROR(__xludf.DUMMYFUNCTION("""COMPUTED_VALUE"""),"Computer networks")</f>
        <v>Computer networks</v>
      </c>
      <c r="D279" s="17">
        <f ca="1">IFERROR(__xludf.DUMMYFUNCTION("""COMPUTED_VALUE"""),7)</f>
        <v>7</v>
      </c>
      <c r="E279" s="19" t="str">
        <f ca="1">IFERROR(__xludf.DUMMYFUNCTION("""COMPUTED_VALUE"""),"Describe a DNS and its role in the conversion of a URL to an IP address")</f>
        <v>Describe a DNS and its role in the conversion of a URL to an IP address</v>
      </c>
      <c r="F279" s="30" t="b">
        <f ca="1">IFERROR(__xludf.DUMMYFUNCTION("""COMPUTED_VALUE"""),TRUE)</f>
        <v>1</v>
      </c>
      <c r="G279" s="26"/>
      <c r="H279" s="27"/>
      <c r="I279" s="30"/>
      <c r="J279" s="26"/>
      <c r="K279" s="26"/>
      <c r="L279" s="26"/>
      <c r="M279" s="26"/>
      <c r="N279" s="26"/>
      <c r="O279" s="26"/>
      <c r="P279" s="26" t="b">
        <f ca="1">IFERROR(__xludf.DUMMYFUNCTION("""COMPUTED_VALUE"""),TRUE)</f>
        <v>1</v>
      </c>
      <c r="Q279" s="26"/>
      <c r="R279" s="27"/>
      <c r="S279" s="28" t="s">
        <v>70</v>
      </c>
      <c r="T279" s="28" t="s">
        <v>78</v>
      </c>
      <c r="U279" s="28" t="s">
        <v>7</v>
      </c>
      <c r="V279" s="29"/>
      <c r="W279" s="67"/>
    </row>
    <row r="280" spans="1:23" ht="28">
      <c r="A280" s="17" t="str">
        <f ca="1">IFERROR(__xludf.DUMMYFUNCTION("""COMPUTED_VALUE"""),"GCSE")</f>
        <v>GCSE</v>
      </c>
      <c r="B280" s="17">
        <f ca="1">IFERROR(__xludf.DUMMYFUNCTION("""COMPUTED_VALUE"""),12)</f>
        <v>12</v>
      </c>
      <c r="C280" s="19" t="str">
        <f ca="1">IFERROR(__xludf.DUMMYFUNCTION("""COMPUTED_VALUE"""),"Computer networks")</f>
        <v>Computer networks</v>
      </c>
      <c r="D280" s="17">
        <f ca="1">IFERROR(__xludf.DUMMYFUNCTION("""COMPUTED_VALUE"""),7)</f>
        <v>7</v>
      </c>
      <c r="E280" s="19" t="str">
        <f ca="1">IFERROR(__xludf.DUMMYFUNCTION("""COMPUTED_VALUE"""),"Describe the function of an IP address
")</f>
        <v xml:space="preserve">Describe the function of an IP address
</v>
      </c>
      <c r="F280" s="30" t="b">
        <f ca="1">IFERROR(__xludf.DUMMYFUNCTION("""COMPUTED_VALUE"""),TRUE)</f>
        <v>1</v>
      </c>
      <c r="G280" s="26"/>
      <c r="H280" s="27"/>
      <c r="I280" s="30"/>
      <c r="J280" s="26"/>
      <c r="K280" s="26"/>
      <c r="L280" s="26"/>
      <c r="M280" s="26"/>
      <c r="N280" s="26"/>
      <c r="O280" s="26"/>
      <c r="P280" s="26" t="b">
        <f ca="1">IFERROR(__xludf.DUMMYFUNCTION("""COMPUTED_VALUE"""),TRUE)</f>
        <v>1</v>
      </c>
      <c r="Q280" s="26"/>
      <c r="R280" s="27"/>
      <c r="S280" s="28"/>
      <c r="T280" s="28" t="s">
        <v>78</v>
      </c>
      <c r="U280" s="28" t="s">
        <v>7</v>
      </c>
      <c r="V280" s="29" t="s">
        <v>95</v>
      </c>
      <c r="W280" s="67"/>
    </row>
    <row r="281" spans="1:23" ht="28">
      <c r="A281" s="17" t="str">
        <f ca="1">IFERROR(__xludf.DUMMYFUNCTION("""COMPUTED_VALUE"""),"GCSE")</f>
        <v>GCSE</v>
      </c>
      <c r="B281" s="17">
        <f ca="1">IFERROR(__xludf.DUMMYFUNCTION("""COMPUTED_VALUE"""),12)</f>
        <v>12</v>
      </c>
      <c r="C281" s="19" t="str">
        <f ca="1">IFERROR(__xludf.DUMMYFUNCTION("""COMPUTED_VALUE"""),"Computer networks")</f>
        <v>Computer networks</v>
      </c>
      <c r="D281" s="17">
        <f ca="1">IFERROR(__xludf.DUMMYFUNCTION("""COMPUTED_VALUE"""),7)</f>
        <v>7</v>
      </c>
      <c r="E281" s="19" t="str">
        <f ca="1">IFERROR(__xludf.DUMMYFUNCTION("""COMPUTED_VALUE"""),"Describe the internet as a network of computer networks")</f>
        <v>Describe the internet as a network of computer networks</v>
      </c>
      <c r="F281" s="30" t="b">
        <f ca="1">IFERROR(__xludf.DUMMYFUNCTION("""COMPUTED_VALUE"""),TRUE)</f>
        <v>1</v>
      </c>
      <c r="G281" s="26"/>
      <c r="H281" s="27"/>
      <c r="I281" s="30"/>
      <c r="J281" s="26"/>
      <c r="K281" s="26"/>
      <c r="L281" s="26"/>
      <c r="M281" s="26"/>
      <c r="N281" s="26"/>
      <c r="O281" s="26"/>
      <c r="P281" s="26" t="b">
        <f ca="1">IFERROR(__xludf.DUMMYFUNCTION("""COMPUTED_VALUE"""),TRUE)</f>
        <v>1</v>
      </c>
      <c r="Q281" s="26"/>
      <c r="R281" s="27"/>
      <c r="S281" s="28"/>
      <c r="T281" s="28" t="s">
        <v>78</v>
      </c>
      <c r="U281" s="28"/>
      <c r="V281" s="29"/>
      <c r="W281" s="67"/>
    </row>
    <row r="282" spans="1:23" ht="21">
      <c r="A282" s="17" t="str">
        <f ca="1">IFERROR(__xludf.DUMMYFUNCTION("""COMPUTED_VALUE"""),"GCSE")</f>
        <v>GCSE</v>
      </c>
      <c r="B282" s="17">
        <f ca="1">IFERROR(__xludf.DUMMYFUNCTION("""COMPUTED_VALUE"""),12)</f>
        <v>12</v>
      </c>
      <c r="C282" s="19" t="str">
        <f ca="1">IFERROR(__xludf.DUMMYFUNCTION("""COMPUTED_VALUE"""),"Computer networks")</f>
        <v>Computer networks</v>
      </c>
      <c r="D282" s="17">
        <f ca="1">IFERROR(__xludf.DUMMYFUNCTION("""COMPUTED_VALUE"""),8)</f>
        <v>8</v>
      </c>
      <c r="E282" s="19" t="str">
        <f ca="1">IFERROR(__xludf.DUMMYFUNCTION("""COMPUTED_VALUE"""),"Describe how servers are used for hosting services across the internet")</f>
        <v>Describe how servers are used for hosting services across the internet</v>
      </c>
      <c r="F282" s="30" t="b">
        <f ca="1">IFERROR(__xludf.DUMMYFUNCTION("""COMPUTED_VALUE"""),TRUE)</f>
        <v>1</v>
      </c>
      <c r="G282" s="26"/>
      <c r="H282" s="27"/>
      <c r="I282" s="30"/>
      <c r="J282" s="26"/>
      <c r="K282" s="26"/>
      <c r="L282" s="26"/>
      <c r="M282" s="26"/>
      <c r="N282" s="26"/>
      <c r="O282" s="26"/>
      <c r="P282" s="26" t="b">
        <f ca="1">IFERROR(__xludf.DUMMYFUNCTION("""COMPUTED_VALUE"""),TRUE)</f>
        <v>1</v>
      </c>
      <c r="Q282" s="26"/>
      <c r="R282" s="27"/>
      <c r="S282" s="28"/>
      <c r="T282" s="28"/>
      <c r="U282" s="28" t="s">
        <v>7</v>
      </c>
      <c r="V282" s="29" t="s">
        <v>95</v>
      </c>
      <c r="W282" s="67"/>
    </row>
    <row r="283" spans="1:23" ht="28">
      <c r="A283" s="17" t="str">
        <f ca="1">IFERROR(__xludf.DUMMYFUNCTION("""COMPUTED_VALUE"""),"GCSE")</f>
        <v>GCSE</v>
      </c>
      <c r="B283" s="17">
        <f ca="1">IFERROR(__xludf.DUMMYFUNCTION("""COMPUTED_VALUE"""),12)</f>
        <v>12</v>
      </c>
      <c r="C283" s="19" t="str">
        <f ca="1">IFERROR(__xludf.DUMMYFUNCTION("""COMPUTED_VALUE"""),"Computer networks")</f>
        <v>Computer networks</v>
      </c>
      <c r="D283" s="17">
        <f ca="1">IFERROR(__xludf.DUMMYFUNCTION("""COMPUTED_VALUE"""),8)</f>
        <v>8</v>
      </c>
      <c r="E283" s="19" t="str">
        <f ca="1">IFERROR(__xludf.DUMMYFUNCTION("""COMPUTED_VALUE"""),"Describe how the cloud provides services for software and storage")</f>
        <v>Describe how the cloud provides services for software and storage</v>
      </c>
      <c r="F283" s="30" t="b">
        <f ca="1">IFERROR(__xludf.DUMMYFUNCTION("""COMPUTED_VALUE"""),TRUE)</f>
        <v>1</v>
      </c>
      <c r="G283" s="26"/>
      <c r="H283" s="27"/>
      <c r="I283" s="30"/>
      <c r="J283" s="26"/>
      <c r="K283" s="26"/>
      <c r="L283" s="26"/>
      <c r="M283" s="26"/>
      <c r="N283" s="26"/>
      <c r="O283" s="26"/>
      <c r="P283" s="26" t="b">
        <f ca="1">IFERROR(__xludf.DUMMYFUNCTION("""COMPUTED_VALUE"""),TRUE)</f>
        <v>1</v>
      </c>
      <c r="Q283" s="26"/>
      <c r="R283" s="27"/>
      <c r="S283" s="28" t="s">
        <v>70</v>
      </c>
      <c r="T283" s="28" t="s">
        <v>78</v>
      </c>
      <c r="U283" s="28" t="s">
        <v>7</v>
      </c>
      <c r="V283" s="29" t="s">
        <v>95</v>
      </c>
      <c r="W283" s="67"/>
    </row>
    <row r="284" spans="1:23" ht="28">
      <c r="A284" s="17" t="str">
        <f ca="1">IFERROR(__xludf.DUMMYFUNCTION("""COMPUTED_VALUE"""),"GCSE")</f>
        <v>GCSE</v>
      </c>
      <c r="B284" s="17">
        <f ca="1">IFERROR(__xludf.DUMMYFUNCTION("""COMPUTED_VALUE"""),12)</f>
        <v>12</v>
      </c>
      <c r="C284" s="19" t="str">
        <f ca="1">IFERROR(__xludf.DUMMYFUNCTION("""COMPUTED_VALUE"""),"Computer networks")</f>
        <v>Computer networks</v>
      </c>
      <c r="D284" s="17">
        <f ca="1">IFERROR(__xludf.DUMMYFUNCTION("""COMPUTED_VALUE"""),8)</f>
        <v>8</v>
      </c>
      <c r="E284" s="19" t="str">
        <f ca="1">IFERROR(__xludf.DUMMYFUNCTION("""COMPUTED_VALUE"""),"Describe the role of web servers and clients")</f>
        <v>Describe the role of web servers and clients</v>
      </c>
      <c r="F284" s="30" t="b">
        <f ca="1">IFERROR(__xludf.DUMMYFUNCTION("""COMPUTED_VALUE"""),TRUE)</f>
        <v>1</v>
      </c>
      <c r="G284" s="26"/>
      <c r="H284" s="27"/>
      <c r="I284" s="30"/>
      <c r="J284" s="26"/>
      <c r="K284" s="26"/>
      <c r="L284" s="26"/>
      <c r="M284" s="26"/>
      <c r="N284" s="26"/>
      <c r="O284" s="26"/>
      <c r="P284" s="26" t="b">
        <f ca="1">IFERROR(__xludf.DUMMYFUNCTION("""COMPUTED_VALUE"""),TRUE)</f>
        <v>1</v>
      </c>
      <c r="Q284" s="26"/>
      <c r="R284" s="27"/>
      <c r="S284" s="28" t="s">
        <v>70</v>
      </c>
      <c r="T284" s="28" t="s">
        <v>78</v>
      </c>
      <c r="U284" s="28" t="s">
        <v>7</v>
      </c>
      <c r="V284" s="29" t="s">
        <v>95</v>
      </c>
      <c r="W284" s="67"/>
    </row>
    <row r="285" spans="1:23" ht="21">
      <c r="A285" s="17" t="str">
        <f ca="1">IFERROR(__xludf.DUMMYFUNCTION("""COMPUTED_VALUE"""),"GCSE")</f>
        <v>GCSE</v>
      </c>
      <c r="B285" s="17">
        <f ca="1">IFERROR(__xludf.DUMMYFUNCTION("""COMPUTED_VALUE"""),12)</f>
        <v>12</v>
      </c>
      <c r="C285" s="19" t="str">
        <f ca="1">IFERROR(__xludf.DUMMYFUNCTION("""COMPUTED_VALUE"""),"Computer networks")</f>
        <v>Computer networks</v>
      </c>
      <c r="D285" s="17">
        <f ca="1">IFERROR(__xludf.DUMMYFUNCTION("""COMPUTED_VALUE"""),8)</f>
        <v>8</v>
      </c>
      <c r="E285" s="19" t="str">
        <f ca="1">IFERROR(__xludf.DUMMYFUNCTION("""COMPUTED_VALUE"""),"List the advantages and disadvantages of the cloud")</f>
        <v>List the advantages and disadvantages of the cloud</v>
      </c>
      <c r="F285" s="30" t="b">
        <f ca="1">IFERROR(__xludf.DUMMYFUNCTION("""COMPUTED_VALUE"""),TRUE)</f>
        <v>1</v>
      </c>
      <c r="G285" s="26"/>
      <c r="H285" s="27"/>
      <c r="I285" s="30"/>
      <c r="J285" s="26"/>
      <c r="K285" s="26"/>
      <c r="L285" s="26"/>
      <c r="M285" s="26"/>
      <c r="N285" s="26"/>
      <c r="O285" s="26"/>
      <c r="P285" s="26" t="b">
        <f ca="1">IFERROR(__xludf.DUMMYFUNCTION("""COMPUTED_VALUE"""),TRUE)</f>
        <v>1</v>
      </c>
      <c r="Q285" s="26"/>
      <c r="R285" s="27"/>
      <c r="S285" s="28"/>
      <c r="T285" s="28"/>
      <c r="U285" s="28" t="s">
        <v>7</v>
      </c>
      <c r="V285" s="29" t="s">
        <v>95</v>
      </c>
      <c r="W285" s="67"/>
    </row>
    <row r="286" spans="1:23" ht="28">
      <c r="A286" s="17" t="str">
        <f ca="1">IFERROR(__xludf.DUMMYFUNCTION("""COMPUTED_VALUE"""),"GCSE")</f>
        <v>GCSE</v>
      </c>
      <c r="B286" s="17">
        <f ca="1">IFERROR(__xludf.DUMMYFUNCTION("""COMPUTED_VALUE"""),12)</f>
        <v>12</v>
      </c>
      <c r="C286" s="19" t="str">
        <f ca="1">IFERROR(__xludf.DUMMYFUNCTION("""COMPUTED_VALUE"""),"Computer networks")</f>
        <v>Computer networks</v>
      </c>
      <c r="D286" s="17">
        <f ca="1">IFERROR(__xludf.DUMMYFUNCTION("""COMPUTED_VALUE"""),9)</f>
        <v>9</v>
      </c>
      <c r="E286" s="19" t="str">
        <f ca="1">IFERROR(__xludf.DUMMYFUNCTION("""COMPUTED_VALUE"""),"Define the purpose and common use of the network protocols: Ethernet, WiFi, HTTP, HTTPS. FTP, POP, SMTP, and IMAP")</f>
        <v>Define the purpose and common use of the network protocols: Ethernet, WiFi, HTTP, HTTPS. FTP, POP, SMTP, and IMAP</v>
      </c>
      <c r="F286" s="30" t="b">
        <f ca="1">IFERROR(__xludf.DUMMYFUNCTION("""COMPUTED_VALUE"""),TRUE)</f>
        <v>1</v>
      </c>
      <c r="G286" s="26"/>
      <c r="H286" s="27"/>
      <c r="I286" s="30"/>
      <c r="J286" s="26"/>
      <c r="K286" s="26"/>
      <c r="L286" s="26"/>
      <c r="M286" s="26"/>
      <c r="N286" s="26"/>
      <c r="O286" s="26"/>
      <c r="P286" s="26" t="b">
        <f ca="1">IFERROR(__xludf.DUMMYFUNCTION("""COMPUTED_VALUE"""),TRUE)</f>
        <v>1</v>
      </c>
      <c r="Q286" s="26"/>
      <c r="R286" s="27"/>
      <c r="S286" s="28" t="s">
        <v>70</v>
      </c>
      <c r="T286" s="28" t="s">
        <v>78</v>
      </c>
      <c r="U286" s="28"/>
      <c r="V286" s="29" t="s">
        <v>95</v>
      </c>
      <c r="W286" s="67"/>
    </row>
    <row r="287" spans="1:23" ht="28">
      <c r="A287" s="17" t="str">
        <f ca="1">IFERROR(__xludf.DUMMYFUNCTION("""COMPUTED_VALUE"""),"GCSE")</f>
        <v>GCSE</v>
      </c>
      <c r="B287" s="17">
        <f ca="1">IFERROR(__xludf.DUMMYFUNCTION("""COMPUTED_VALUE"""),12)</f>
        <v>12</v>
      </c>
      <c r="C287" s="19" t="str">
        <f ca="1">IFERROR(__xludf.DUMMYFUNCTION("""COMPUTED_VALUE"""),"Computer networks")</f>
        <v>Computer networks</v>
      </c>
      <c r="D287" s="17">
        <f ca="1">IFERROR(__xludf.DUMMYFUNCTION("""COMPUTED_VALUE"""),9)</f>
        <v>9</v>
      </c>
      <c r="E287" s="19" t="str">
        <f ca="1">IFERROR(__xludf.DUMMYFUNCTION("""COMPUTED_VALUE"""),"Define the term network protocol")</f>
        <v>Define the term network protocol</v>
      </c>
      <c r="F287" s="30" t="b">
        <f ca="1">IFERROR(__xludf.DUMMYFUNCTION("""COMPUTED_VALUE"""),TRUE)</f>
        <v>1</v>
      </c>
      <c r="G287" s="26"/>
      <c r="H287" s="27"/>
      <c r="I287" s="30"/>
      <c r="J287" s="26"/>
      <c r="K287" s="26"/>
      <c r="L287" s="26"/>
      <c r="M287" s="26"/>
      <c r="N287" s="26"/>
      <c r="O287" s="26"/>
      <c r="P287" s="26" t="b">
        <f ca="1">IFERROR(__xludf.DUMMYFUNCTION("""COMPUTED_VALUE"""),TRUE)</f>
        <v>1</v>
      </c>
      <c r="Q287" s="26"/>
      <c r="R287" s="27"/>
      <c r="S287" s="28" t="s">
        <v>70</v>
      </c>
      <c r="T287" s="28" t="s">
        <v>78</v>
      </c>
      <c r="U287" s="28" t="s">
        <v>7</v>
      </c>
      <c r="V287" s="29"/>
      <c r="W287" s="67"/>
    </row>
    <row r="288" spans="1:23" ht="28">
      <c r="A288" s="17" t="str">
        <f ca="1">IFERROR(__xludf.DUMMYFUNCTION("""COMPUTED_VALUE"""),"GCSE")</f>
        <v>GCSE</v>
      </c>
      <c r="B288" s="17">
        <f ca="1">IFERROR(__xludf.DUMMYFUNCTION("""COMPUTED_VALUE"""),12)</f>
        <v>12</v>
      </c>
      <c r="C288" s="19" t="str">
        <f ca="1">IFERROR(__xludf.DUMMYFUNCTION("""COMPUTED_VALUE"""),"Computer networks")</f>
        <v>Computer networks</v>
      </c>
      <c r="D288" s="17">
        <f ca="1">IFERROR(__xludf.DUMMYFUNCTION("""COMPUTED_VALUE"""),9)</f>
        <v>9</v>
      </c>
      <c r="E288" s="19" t="str">
        <f ca="1">IFERROR(__xludf.DUMMYFUNCTION("""COMPUTED_VALUE"""),"Determine the need for standards in network communications")</f>
        <v>Determine the need for standards in network communications</v>
      </c>
      <c r="F288" s="30" t="b">
        <f ca="1">IFERROR(__xludf.DUMMYFUNCTION("""COMPUTED_VALUE"""),TRUE)</f>
        <v>1</v>
      </c>
      <c r="G288" s="26"/>
      <c r="H288" s="27"/>
      <c r="I288" s="30"/>
      <c r="J288" s="26"/>
      <c r="K288" s="26"/>
      <c r="L288" s="26"/>
      <c r="M288" s="26"/>
      <c r="N288" s="26"/>
      <c r="O288" s="26"/>
      <c r="P288" s="26" t="b">
        <f ca="1">IFERROR(__xludf.DUMMYFUNCTION("""COMPUTED_VALUE"""),TRUE)</f>
        <v>1</v>
      </c>
      <c r="Q288" s="26"/>
      <c r="R288" s="27"/>
      <c r="S288" s="28" t="s">
        <v>70</v>
      </c>
      <c r="T288" s="28" t="s">
        <v>78</v>
      </c>
      <c r="U288" s="28" t="s">
        <v>7</v>
      </c>
      <c r="V288" s="29" t="s">
        <v>95</v>
      </c>
      <c r="W288" s="67"/>
    </row>
    <row r="289" spans="1:23" ht="28">
      <c r="A289" s="17" t="str">
        <f ca="1">IFERROR(__xludf.DUMMYFUNCTION("""COMPUTED_VALUE"""),"GCSE")</f>
        <v>GCSE</v>
      </c>
      <c r="B289" s="17">
        <f ca="1">IFERROR(__xludf.DUMMYFUNCTION("""COMPUTED_VALUE"""),12)</f>
        <v>12</v>
      </c>
      <c r="C289" s="19" t="str">
        <f ca="1">IFERROR(__xludf.DUMMYFUNCTION("""COMPUTED_VALUE"""),"Computer networks")</f>
        <v>Computer networks</v>
      </c>
      <c r="D289" s="17">
        <f ca="1">IFERROR(__xludf.DUMMYFUNCTION("""COMPUTED_VALUE"""),10)</f>
        <v>10</v>
      </c>
      <c r="E289" s="19" t="str">
        <f ca="1">IFERROR(__xludf.DUMMYFUNCTION("""COMPUTED_VALUE"""),"Define the purpose and common use of the network protocols: TCP, IP, UDP
")</f>
        <v xml:space="preserve">Define the purpose and common use of the network protocols: TCP, IP, UDP
</v>
      </c>
      <c r="F289" s="30" t="b">
        <f ca="1">IFERROR(__xludf.DUMMYFUNCTION("""COMPUTED_VALUE"""),TRUE)</f>
        <v>1</v>
      </c>
      <c r="G289" s="26"/>
      <c r="H289" s="27"/>
      <c r="I289" s="30"/>
      <c r="J289" s="26"/>
      <c r="K289" s="26"/>
      <c r="L289" s="26"/>
      <c r="M289" s="26"/>
      <c r="N289" s="26"/>
      <c r="O289" s="26"/>
      <c r="P289" s="26" t="b">
        <f ca="1">IFERROR(__xludf.DUMMYFUNCTION("""COMPUTED_VALUE"""),TRUE)</f>
        <v>1</v>
      </c>
      <c r="Q289" s="26"/>
      <c r="R289" s="27"/>
      <c r="S289" s="28"/>
      <c r="T289" s="28" t="s">
        <v>78</v>
      </c>
      <c r="U289" s="28" t="s">
        <v>7</v>
      </c>
      <c r="V289" s="29" t="s">
        <v>95</v>
      </c>
      <c r="W289" s="67"/>
    </row>
    <row r="290" spans="1:23" ht="42">
      <c r="A290" s="17" t="str">
        <f ca="1">IFERROR(__xludf.DUMMYFUNCTION("""COMPUTED_VALUE"""),"GCSE")</f>
        <v>GCSE</v>
      </c>
      <c r="B290" s="17">
        <f ca="1">IFERROR(__xludf.DUMMYFUNCTION("""COMPUTED_VALUE"""),12)</f>
        <v>12</v>
      </c>
      <c r="C290" s="19" t="str">
        <f ca="1">IFERROR(__xludf.DUMMYFUNCTION("""COMPUTED_VALUE"""),"Computer networks")</f>
        <v>Computer networks</v>
      </c>
      <c r="D290" s="17">
        <f ca="1">IFERROR(__xludf.DUMMYFUNCTION("""COMPUTED_VALUE"""),10)</f>
        <v>10</v>
      </c>
      <c r="E290" s="19" t="str">
        <f ca="1">IFERROR(__xludf.DUMMYFUNCTION("""COMPUTED_VALUE"""),"Describe that the HTTP, HTTPS, SMTP, IMAP, and FTP protocols operate at the application layer
")</f>
        <v xml:space="preserve">Describe that the HTTP, HTTPS, SMTP, IMAP, and FTP protocols operate at the application layer
</v>
      </c>
      <c r="F290" s="30" t="b">
        <f ca="1">IFERROR(__xludf.DUMMYFUNCTION("""COMPUTED_VALUE"""),TRUE)</f>
        <v>1</v>
      </c>
      <c r="G290" s="26"/>
      <c r="H290" s="27"/>
      <c r="I290" s="30"/>
      <c r="J290" s="26"/>
      <c r="K290" s="26"/>
      <c r="L290" s="26"/>
      <c r="M290" s="26"/>
      <c r="N290" s="26"/>
      <c r="O290" s="26"/>
      <c r="P290" s="26" t="b">
        <f ca="1">IFERROR(__xludf.DUMMYFUNCTION("""COMPUTED_VALUE"""),TRUE)</f>
        <v>1</v>
      </c>
      <c r="Q290" s="26"/>
      <c r="R290" s="27"/>
      <c r="S290" s="28"/>
      <c r="T290" s="28"/>
      <c r="U290" s="28" t="s">
        <v>7</v>
      </c>
      <c r="V290" s="29" t="s">
        <v>95</v>
      </c>
      <c r="W290" s="67"/>
    </row>
    <row r="291" spans="1:23" ht="28">
      <c r="A291" s="17" t="str">
        <f ca="1">IFERROR(__xludf.DUMMYFUNCTION("""COMPUTED_VALUE"""),"GCSE")</f>
        <v>GCSE</v>
      </c>
      <c r="B291" s="17">
        <f ca="1">IFERROR(__xludf.DUMMYFUNCTION("""COMPUTED_VALUE"""),12)</f>
        <v>12</v>
      </c>
      <c r="C291" s="19" t="str">
        <f ca="1">IFERROR(__xludf.DUMMYFUNCTION("""COMPUTED_VALUE"""),"Computer networks")</f>
        <v>Computer networks</v>
      </c>
      <c r="D291" s="17">
        <f ca="1">IFERROR(__xludf.DUMMYFUNCTION("""COMPUTED_VALUE"""),10)</f>
        <v>10</v>
      </c>
      <c r="E291" s="19" t="str">
        <f ca="1">IFERROR(__xludf.DUMMYFUNCTION("""COMPUTED_VALUE"""),"Describe that the IP protocol operates at the internet layer
")</f>
        <v xml:space="preserve">Describe that the IP protocol operates at the internet layer
</v>
      </c>
      <c r="F291" s="30" t="b">
        <f ca="1">IFERROR(__xludf.DUMMYFUNCTION("""COMPUTED_VALUE"""),TRUE)</f>
        <v>1</v>
      </c>
      <c r="G291" s="26"/>
      <c r="H291" s="27"/>
      <c r="I291" s="30"/>
      <c r="J291" s="26"/>
      <c r="K291" s="26"/>
      <c r="L291" s="26"/>
      <c r="M291" s="26"/>
      <c r="N291" s="26"/>
      <c r="O291" s="26"/>
      <c r="P291" s="26" t="b">
        <f ca="1">IFERROR(__xludf.DUMMYFUNCTION("""COMPUTED_VALUE"""),TRUE)</f>
        <v>1</v>
      </c>
      <c r="Q291" s="26"/>
      <c r="R291" s="27"/>
      <c r="S291" s="28" t="s">
        <v>70</v>
      </c>
      <c r="T291" s="28" t="s">
        <v>96</v>
      </c>
      <c r="U291" s="28" t="s">
        <v>7</v>
      </c>
      <c r="V291" s="29"/>
      <c r="W291" s="67"/>
    </row>
    <row r="292" spans="1:23" ht="21">
      <c r="A292" s="17" t="str">
        <f ca="1">IFERROR(__xludf.DUMMYFUNCTION("""COMPUTED_VALUE"""),"GCSE")</f>
        <v>GCSE</v>
      </c>
      <c r="B292" s="17">
        <f ca="1">IFERROR(__xludf.DUMMYFUNCTION("""COMPUTED_VALUE"""),12)</f>
        <v>12</v>
      </c>
      <c r="C292" s="19" t="str">
        <f ca="1">IFERROR(__xludf.DUMMYFUNCTION("""COMPUTED_VALUE"""),"Computer networks")</f>
        <v>Computer networks</v>
      </c>
      <c r="D292" s="17">
        <f ca="1">IFERROR(__xludf.DUMMYFUNCTION("""COMPUTED_VALUE"""),10)</f>
        <v>10</v>
      </c>
      <c r="E292" s="19" t="str">
        <f ca="1">IFERROR(__xludf.DUMMYFUNCTION("""COMPUTED_VALUE"""),"Describe that the TCP and UDP protocols operate at the transport layer")</f>
        <v>Describe that the TCP and UDP protocols operate at the transport layer</v>
      </c>
      <c r="F292" s="30" t="b">
        <f ca="1">IFERROR(__xludf.DUMMYFUNCTION("""COMPUTED_VALUE"""),TRUE)</f>
        <v>1</v>
      </c>
      <c r="G292" s="26"/>
      <c r="H292" s="27"/>
      <c r="I292" s="30"/>
      <c r="J292" s="26"/>
      <c r="K292" s="26"/>
      <c r="L292" s="26"/>
      <c r="M292" s="26"/>
      <c r="N292" s="26"/>
      <c r="O292" s="26"/>
      <c r="P292" s="26" t="b">
        <f ca="1">IFERROR(__xludf.DUMMYFUNCTION("""COMPUTED_VALUE"""),TRUE)</f>
        <v>1</v>
      </c>
      <c r="Q292" s="26"/>
      <c r="R292" s="27"/>
      <c r="S292" s="28"/>
      <c r="T292" s="28"/>
      <c r="U292" s="28" t="s">
        <v>7</v>
      </c>
      <c r="V292" s="29" t="s">
        <v>95</v>
      </c>
      <c r="W292" s="67"/>
    </row>
    <row r="293" spans="1:23" ht="28">
      <c r="A293" s="17" t="str">
        <f ca="1">IFERROR(__xludf.DUMMYFUNCTION("""COMPUTED_VALUE"""),"GCSE")</f>
        <v>GCSE</v>
      </c>
      <c r="B293" s="17">
        <f ca="1">IFERROR(__xludf.DUMMYFUNCTION("""COMPUTED_VALUE"""),12)</f>
        <v>12</v>
      </c>
      <c r="C293" s="19" t="str">
        <f ca="1">IFERROR(__xludf.DUMMYFUNCTION("""COMPUTED_VALUE"""),"Computer networks")</f>
        <v>Computer networks</v>
      </c>
      <c r="D293" s="17">
        <f ca="1">IFERROR(__xludf.DUMMYFUNCTION("""COMPUTED_VALUE"""),10)</f>
        <v>10</v>
      </c>
      <c r="E293" s="19" t="str">
        <f ca="1">IFERROR(__xludf.DUMMYFUNCTION("""COMPUTED_VALUE"""),"Describe the four layers of the TCP/IP model (Link, Internet, Transport, Application)
")</f>
        <v xml:space="preserve">Describe the four layers of the TCP/IP model (Link, Internet, Transport, Application)
</v>
      </c>
      <c r="F293" s="30" t="b">
        <f ca="1">IFERROR(__xludf.DUMMYFUNCTION("""COMPUTED_VALUE"""),TRUE)</f>
        <v>1</v>
      </c>
      <c r="G293" s="26"/>
      <c r="H293" s="27"/>
      <c r="I293" s="30"/>
      <c r="J293" s="26"/>
      <c r="K293" s="26"/>
      <c r="L293" s="26"/>
      <c r="M293" s="26"/>
      <c r="N293" s="26"/>
      <c r="O293" s="26"/>
      <c r="P293" s="26" t="b">
        <f ca="1">IFERROR(__xludf.DUMMYFUNCTION("""COMPUTED_VALUE"""),TRUE)</f>
        <v>1</v>
      </c>
      <c r="Q293" s="26"/>
      <c r="R293" s="27"/>
      <c r="S293" s="31"/>
      <c r="T293" s="31"/>
      <c r="U293" s="31"/>
      <c r="V293" s="32"/>
      <c r="W293" s="67"/>
    </row>
    <row r="294" spans="1:23" ht="28">
      <c r="A294" s="17" t="str">
        <f ca="1">IFERROR(__xludf.DUMMYFUNCTION("""COMPUTED_VALUE"""),"GCSE")</f>
        <v>GCSE</v>
      </c>
      <c r="B294" s="17">
        <f ca="1">IFERROR(__xludf.DUMMYFUNCTION("""COMPUTED_VALUE"""),12)</f>
        <v>12</v>
      </c>
      <c r="C294" s="19" t="str">
        <f ca="1">IFERROR(__xludf.DUMMYFUNCTION("""COMPUTED_VALUE"""),"Computer networks")</f>
        <v>Computer networks</v>
      </c>
      <c r="D294" s="17">
        <f ca="1">IFERROR(__xludf.DUMMYFUNCTION("""COMPUTED_VALUE"""),10)</f>
        <v>10</v>
      </c>
      <c r="E294" s="19" t="str">
        <f ca="1">IFERROR(__xludf.DUMMYFUNCTION("""COMPUTED_VALUE"""),"Describe the typical contents of a TCP/IP packet and packet switching
")</f>
        <v xml:space="preserve">Describe the typical contents of a TCP/IP packet and packet switching
</v>
      </c>
      <c r="F294" s="30" t="b">
        <f ca="1">IFERROR(__xludf.DUMMYFUNCTION("""COMPUTED_VALUE"""),TRUE)</f>
        <v>1</v>
      </c>
      <c r="G294" s="26"/>
      <c r="H294" s="27"/>
      <c r="I294" s="30"/>
      <c r="J294" s="26"/>
      <c r="K294" s="26"/>
      <c r="L294" s="26"/>
      <c r="M294" s="26"/>
      <c r="N294" s="26"/>
      <c r="O294" s="26"/>
      <c r="P294" s="26" t="b">
        <f ca="1">IFERROR(__xludf.DUMMYFUNCTION("""COMPUTED_VALUE"""),TRUE)</f>
        <v>1</v>
      </c>
      <c r="Q294" s="26"/>
      <c r="R294" s="27"/>
      <c r="S294" s="31" t="s">
        <v>70</v>
      </c>
      <c r="T294" s="31" t="s">
        <v>71</v>
      </c>
      <c r="U294" s="31" t="s">
        <v>72</v>
      </c>
      <c r="V294" s="32" t="s">
        <v>73</v>
      </c>
      <c r="W294" s="67"/>
    </row>
    <row r="295" spans="1:23" ht="42">
      <c r="A295" s="17" t="str">
        <f ca="1">IFERROR(__xludf.DUMMYFUNCTION("""COMPUTED_VALUE"""),"GCSE")</f>
        <v>GCSE</v>
      </c>
      <c r="B295" s="17">
        <f ca="1">IFERROR(__xludf.DUMMYFUNCTION("""COMPUTED_VALUE"""),12)</f>
        <v>12</v>
      </c>
      <c r="C295" s="19" t="str">
        <f ca="1">IFERROR(__xludf.DUMMYFUNCTION("""COMPUTED_VALUE"""),"Computer networks")</f>
        <v>Computer networks</v>
      </c>
      <c r="D295" s="17">
        <f ca="1">IFERROR(__xludf.DUMMYFUNCTION("""COMPUTED_VALUE"""),11)</f>
        <v>11</v>
      </c>
      <c r="E295" s="19" t="str">
        <f ca="1">IFERROR(__xludf.DUMMYFUNCTION("""COMPUTED_VALUE"""),"Describe the purpose of each layer in the seven-layer Open Systems Interconnection model (OSI model)
")</f>
        <v xml:space="preserve">Describe the purpose of each layer in the seven-layer Open Systems Interconnection model (OSI model)
</v>
      </c>
      <c r="F295" s="30" t="b">
        <f ca="1">IFERROR(__xludf.DUMMYFUNCTION("""COMPUTED_VALUE"""),TRUE)</f>
        <v>1</v>
      </c>
      <c r="G295" s="26"/>
      <c r="H295" s="27"/>
      <c r="I295" s="30"/>
      <c r="J295" s="26"/>
      <c r="K295" s="26"/>
      <c r="L295" s="26"/>
      <c r="M295" s="26"/>
      <c r="N295" s="26"/>
      <c r="O295" s="26"/>
      <c r="P295" s="26" t="b">
        <f ca="1">IFERROR(__xludf.DUMMYFUNCTION("""COMPUTED_VALUE"""),TRUE)</f>
        <v>1</v>
      </c>
      <c r="Q295" s="26"/>
      <c r="R295" s="27"/>
      <c r="S295" s="31"/>
      <c r="T295" s="31"/>
      <c r="U295" s="31"/>
      <c r="V295" s="32"/>
      <c r="W295" s="67"/>
    </row>
    <row r="296" spans="1:23" ht="28">
      <c r="A296" s="17" t="str">
        <f ca="1">IFERROR(__xludf.DUMMYFUNCTION("""COMPUTED_VALUE"""),"GCSE")</f>
        <v>GCSE</v>
      </c>
      <c r="B296" s="17">
        <f ca="1">IFERROR(__xludf.DUMMYFUNCTION("""COMPUTED_VALUE"""),12)</f>
        <v>12</v>
      </c>
      <c r="C296" s="19" t="str">
        <f ca="1">IFERROR(__xludf.DUMMYFUNCTION("""COMPUTED_VALUE"""),"Computer networks")</f>
        <v>Computer networks</v>
      </c>
      <c r="D296" s="17">
        <f ca="1">IFERROR(__xludf.DUMMYFUNCTION("""COMPUTED_VALUE"""),11)</f>
        <v>11</v>
      </c>
      <c r="E296" s="19" t="str">
        <f ca="1">IFERROR(__xludf.DUMMYFUNCTION("""COMPUTED_VALUE"""),"Describe the use of contemporary networking protocols in the seven-layer OSI model
")</f>
        <v xml:space="preserve">Describe the use of contemporary networking protocols in the seven-layer OSI model
</v>
      </c>
      <c r="F296" s="30" t="b">
        <f ca="1">IFERROR(__xludf.DUMMYFUNCTION("""COMPUTED_VALUE"""),TRUE)</f>
        <v>1</v>
      </c>
      <c r="G296" s="26"/>
      <c r="H296" s="27"/>
      <c r="I296" s="30"/>
      <c r="J296" s="26"/>
      <c r="K296" s="26"/>
      <c r="L296" s="26"/>
      <c r="M296" s="26"/>
      <c r="N296" s="26"/>
      <c r="O296" s="26"/>
      <c r="P296" s="26" t="b">
        <f ca="1">IFERROR(__xludf.DUMMYFUNCTION("""COMPUTED_VALUE"""),TRUE)</f>
        <v>1</v>
      </c>
      <c r="Q296" s="26"/>
      <c r="R296" s="27"/>
      <c r="S296" s="31"/>
      <c r="T296" s="31"/>
      <c r="U296" s="31"/>
      <c r="V296" s="32"/>
      <c r="W296" s="67"/>
    </row>
    <row r="297" spans="1:23" ht="28">
      <c r="A297" s="17" t="str">
        <f ca="1">IFERROR(__xludf.DUMMYFUNCTION("""COMPUTED_VALUE"""),"GCSE")</f>
        <v>GCSE</v>
      </c>
      <c r="B297" s="17">
        <f ca="1">IFERROR(__xludf.DUMMYFUNCTION("""COMPUTED_VALUE"""),12)</f>
        <v>12</v>
      </c>
      <c r="C297" s="19" t="str">
        <f ca="1">IFERROR(__xludf.DUMMYFUNCTION("""COMPUTED_VALUE"""),"Computer networks")</f>
        <v>Computer networks</v>
      </c>
      <c r="D297" s="17">
        <f ca="1">IFERROR(__xludf.DUMMYFUNCTION("""COMPUTED_VALUE"""),12)</f>
        <v>12</v>
      </c>
      <c r="E297" s="19" t="str">
        <f ca="1">IFERROR(__xludf.DUMMYFUNCTION("""COMPUTED_VALUE"""),"Determine the need for and importance of network security
")</f>
        <v xml:space="preserve">Determine the need for and importance of network security
</v>
      </c>
      <c r="F297" s="30" t="b">
        <f ca="1">IFERROR(__xludf.DUMMYFUNCTION("""COMPUTED_VALUE"""),TRUE)</f>
        <v>1</v>
      </c>
      <c r="G297" s="26"/>
      <c r="H297" s="27"/>
      <c r="I297" s="30"/>
      <c r="J297" s="26"/>
      <c r="K297" s="26"/>
      <c r="L297" s="26"/>
      <c r="M297" s="26"/>
      <c r="N297" s="26"/>
      <c r="O297" s="26"/>
      <c r="P297" s="26" t="b">
        <f ca="1">IFERROR(__xludf.DUMMYFUNCTION("""COMPUTED_VALUE"""),TRUE)</f>
        <v>1</v>
      </c>
      <c r="Q297" s="26"/>
      <c r="R297" s="27"/>
      <c r="S297" s="31" t="s">
        <v>70</v>
      </c>
      <c r="T297" s="31"/>
      <c r="U297" s="31"/>
      <c r="V297" s="32"/>
      <c r="W297" s="67"/>
    </row>
    <row r="298" spans="1:23" ht="21">
      <c r="A298" s="17" t="str">
        <f ca="1">IFERROR(__xludf.DUMMYFUNCTION("""COMPUTED_VALUE"""),"GCSE")</f>
        <v>GCSE</v>
      </c>
      <c r="B298" s="17">
        <f ca="1">IFERROR(__xludf.DUMMYFUNCTION("""COMPUTED_VALUE"""),12)</f>
        <v>12</v>
      </c>
      <c r="C298" s="19" t="str">
        <f ca="1">IFERROR(__xludf.DUMMYFUNCTION("""COMPUTED_VALUE"""),"Computer networks")</f>
        <v>Computer networks</v>
      </c>
      <c r="D298" s="17">
        <f ca="1">IFERROR(__xludf.DUMMYFUNCTION("""COMPUTED_VALUE"""),12)</f>
        <v>12</v>
      </c>
      <c r="E298" s="19" t="str">
        <f ca="1">IFERROR(__xludf.DUMMYFUNCTION("""COMPUTED_VALUE"""),"Explain network security methods")</f>
        <v>Explain network security methods</v>
      </c>
      <c r="F298" s="30" t="b">
        <f ca="1">IFERROR(__xludf.DUMMYFUNCTION("""COMPUTED_VALUE"""),TRUE)</f>
        <v>1</v>
      </c>
      <c r="G298" s="26"/>
      <c r="H298" s="27"/>
      <c r="I298" s="30"/>
      <c r="J298" s="26"/>
      <c r="K298" s="26"/>
      <c r="L298" s="26"/>
      <c r="M298" s="26"/>
      <c r="N298" s="26"/>
      <c r="O298" s="26"/>
      <c r="P298" s="26" t="b">
        <f ca="1">IFERROR(__xludf.DUMMYFUNCTION("""COMPUTED_VALUE"""),TRUE)</f>
        <v>1</v>
      </c>
      <c r="Q298" s="26"/>
      <c r="R298" s="27"/>
      <c r="S298" s="31"/>
      <c r="T298" s="31"/>
      <c r="U298" s="31"/>
      <c r="V298" s="32"/>
      <c r="W298" s="67"/>
    </row>
    <row r="299" spans="1:23" ht="28">
      <c r="A299" s="17" t="str">
        <f ca="1">IFERROR(__xludf.DUMMYFUNCTION("""COMPUTED_VALUE"""),"GCSE")</f>
        <v>GCSE</v>
      </c>
      <c r="B299" s="17">
        <f ca="1">IFERROR(__xludf.DUMMYFUNCTION("""COMPUTED_VALUE"""),12)</f>
        <v>12</v>
      </c>
      <c r="C299" s="19" t="str">
        <f ca="1">IFERROR(__xludf.DUMMYFUNCTION("""COMPUTED_VALUE"""),"Computer networks")</f>
        <v>Computer networks</v>
      </c>
      <c r="D299" s="17">
        <f ca="1">IFERROR(__xludf.DUMMYFUNCTION("""COMPUTED_VALUE"""),12)</f>
        <v>12</v>
      </c>
      <c r="E299" s="19" t="str">
        <f ca="1">IFERROR(__xludf.DUMMYFUNCTION("""COMPUTED_VALUE"""),"Identify different forms of attacks on networks (social engineering, malicious software)
")</f>
        <v xml:space="preserve">Identify different forms of attacks on networks (social engineering, malicious software)
</v>
      </c>
      <c r="F299" s="30" t="b">
        <f ca="1">IFERROR(__xludf.DUMMYFUNCTION("""COMPUTED_VALUE"""),TRUE)</f>
        <v>1</v>
      </c>
      <c r="G299" s="26"/>
      <c r="H299" s="27"/>
      <c r="I299" s="30"/>
      <c r="J299" s="26"/>
      <c r="K299" s="26"/>
      <c r="L299" s="26"/>
      <c r="M299" s="26"/>
      <c r="N299" s="26"/>
      <c r="O299" s="26"/>
      <c r="P299" s="26" t="b">
        <f ca="1">IFERROR(__xludf.DUMMYFUNCTION("""COMPUTED_VALUE"""),TRUE)</f>
        <v>1</v>
      </c>
      <c r="Q299" s="26"/>
      <c r="R299" s="27"/>
      <c r="S299" s="31"/>
      <c r="T299" s="31"/>
      <c r="U299" s="31"/>
      <c r="V299" s="32"/>
      <c r="W299" s="67"/>
    </row>
    <row r="300" spans="1:23" ht="21">
      <c r="A300" s="17" t="str">
        <f ca="1">IFERROR(__xludf.DUMMYFUNCTION("""COMPUTED_VALUE"""),"GCSE")</f>
        <v>GCSE</v>
      </c>
      <c r="B300" s="17">
        <f ca="1">IFERROR(__xludf.DUMMYFUNCTION("""COMPUTED_VALUE"""),12)</f>
        <v>12</v>
      </c>
      <c r="C300" s="19" t="str">
        <f ca="1">IFERROR(__xludf.DUMMYFUNCTION("""COMPUTED_VALUE"""),"Computer networks")</f>
        <v>Computer networks</v>
      </c>
      <c r="D300" s="17">
        <f ca="1">IFERROR(__xludf.DUMMYFUNCTION("""COMPUTED_VALUE"""),13)</f>
        <v>13</v>
      </c>
      <c r="E300" s="19" t="str">
        <f ca="1">IFERROR(__xludf.DUMMYFUNCTION("""COMPUTED_VALUE"""),"Recall knowledge of networks through a final, summative assessment")</f>
        <v>Recall knowledge of networks through a final, summative assessment</v>
      </c>
      <c r="F300" s="30" t="b">
        <f ca="1">IFERROR(__xludf.DUMMYFUNCTION("""COMPUTED_VALUE"""),TRUE)</f>
        <v>1</v>
      </c>
      <c r="G300" s="26"/>
      <c r="H300" s="27"/>
      <c r="I300" s="30"/>
      <c r="J300" s="26"/>
      <c r="K300" s="26"/>
      <c r="L300" s="26"/>
      <c r="M300" s="26"/>
      <c r="N300" s="26"/>
      <c r="O300" s="26"/>
      <c r="P300" s="26" t="b">
        <f ca="1">IFERROR(__xludf.DUMMYFUNCTION("""COMPUTED_VALUE"""),TRUE)</f>
        <v>1</v>
      </c>
      <c r="Q300" s="26"/>
      <c r="R300" s="27"/>
      <c r="S300" s="31"/>
      <c r="T300" s="31" t="s">
        <v>25</v>
      </c>
      <c r="U300" s="31" t="s">
        <v>25</v>
      </c>
      <c r="V300" s="32" t="s">
        <v>69</v>
      </c>
      <c r="W300" s="67"/>
    </row>
    <row r="301" spans="1:23" ht="21">
      <c r="A301" s="17" t="str">
        <f ca="1">IFERROR(__xludf.DUMMYFUNCTION("""COMPUTED_VALUE"""),"GCSE")</f>
        <v>GCSE</v>
      </c>
      <c r="B301" s="17">
        <f ca="1">IFERROR(__xludf.DUMMYFUNCTION("""COMPUTED_VALUE"""),13)</f>
        <v>13</v>
      </c>
      <c r="C301" s="19" t="str">
        <f ca="1">IFERROR(__xludf.DUMMYFUNCTION("""COMPUTED_VALUE"""),"Network security")</f>
        <v>Network security</v>
      </c>
      <c r="D301" s="17">
        <f ca="1">IFERROR(__xludf.DUMMYFUNCTION("""COMPUTED_VALUE"""),1)</f>
        <v>1</v>
      </c>
      <c r="E301" s="19" t="str">
        <f ca="1">IFERROR(__xludf.DUMMYFUNCTION("""COMPUTED_VALUE"""),"Analyse an attack on a company and identify what motivated the hackers")</f>
        <v>Analyse an attack on a company and identify what motivated the hackers</v>
      </c>
      <c r="F301" s="30" t="b">
        <f ca="1">IFERROR(__xludf.DUMMYFUNCTION("""COMPUTED_VALUE"""),TRUE)</f>
        <v>1</v>
      </c>
      <c r="G301" s="26"/>
      <c r="H301" s="27" t="b">
        <f ca="1">IFERROR(__xludf.DUMMYFUNCTION("""COMPUTED_VALUE"""),TRUE)</f>
        <v>1</v>
      </c>
      <c r="I301" s="30"/>
      <c r="J301" s="26"/>
      <c r="K301" s="26" t="b">
        <f ca="1">IFERROR(__xludf.DUMMYFUNCTION("""COMPUTED_VALUE"""),TRUE)</f>
        <v>1</v>
      </c>
      <c r="L301" s="26"/>
      <c r="M301" s="26"/>
      <c r="N301" s="26"/>
      <c r="O301" s="26"/>
      <c r="P301" s="26" t="b">
        <f ca="1">IFERROR(__xludf.DUMMYFUNCTION("""COMPUTED_VALUE"""),TRUE)</f>
        <v>1</v>
      </c>
      <c r="Q301" s="26"/>
      <c r="R301" s="27" t="b">
        <f ca="1">IFERROR(__xludf.DUMMYFUNCTION("""COMPUTED_VALUE"""),TRUE)</f>
        <v>1</v>
      </c>
      <c r="S301" s="31"/>
      <c r="T301" s="31"/>
      <c r="U301" s="31"/>
      <c r="V301" s="32"/>
      <c r="W301" s="67"/>
    </row>
    <row r="302" spans="1:23" ht="28">
      <c r="A302" s="17" t="str">
        <f ca="1">IFERROR(__xludf.DUMMYFUNCTION("""COMPUTED_VALUE"""),"GCSE")</f>
        <v>GCSE</v>
      </c>
      <c r="B302" s="17">
        <f ca="1">IFERROR(__xludf.DUMMYFUNCTION("""COMPUTED_VALUE"""),13)</f>
        <v>13</v>
      </c>
      <c r="C302" s="19" t="str">
        <f ca="1">IFERROR(__xludf.DUMMYFUNCTION("""COMPUTED_VALUE"""),"Network security")</f>
        <v>Network security</v>
      </c>
      <c r="D302" s="17">
        <f ca="1">IFERROR(__xludf.DUMMYFUNCTION("""COMPUTED_VALUE"""),1)</f>
        <v>1</v>
      </c>
      <c r="E302" s="19" t="str">
        <f ca="1">IFERROR(__xludf.DUMMYFUNCTION("""COMPUTED_VALUE"""),"Define the terms cybersecurity and network security, explain their importance, and distinguish between the two")</f>
        <v>Define the terms cybersecurity and network security, explain their importance, and distinguish between the two</v>
      </c>
      <c r="F302" s="30" t="b">
        <f ca="1">IFERROR(__xludf.DUMMYFUNCTION("""COMPUTED_VALUE"""),TRUE)</f>
        <v>1</v>
      </c>
      <c r="G302" s="26"/>
      <c r="H302" s="27" t="b">
        <f ca="1">IFERROR(__xludf.DUMMYFUNCTION("""COMPUTED_VALUE"""),TRUE)</f>
        <v>1</v>
      </c>
      <c r="I302" s="30"/>
      <c r="J302" s="26"/>
      <c r="K302" s="26" t="b">
        <f ca="1">IFERROR(__xludf.DUMMYFUNCTION("""COMPUTED_VALUE"""),TRUE)</f>
        <v>1</v>
      </c>
      <c r="L302" s="26"/>
      <c r="M302" s="26"/>
      <c r="N302" s="26"/>
      <c r="O302" s="26"/>
      <c r="P302" s="26" t="b">
        <f ca="1">IFERROR(__xludf.DUMMYFUNCTION("""COMPUTED_VALUE"""),TRUE)</f>
        <v>1</v>
      </c>
      <c r="Q302" s="26"/>
      <c r="R302" s="27" t="b">
        <f ca="1">IFERROR(__xludf.DUMMYFUNCTION("""COMPUTED_VALUE"""),TRUE)</f>
        <v>1</v>
      </c>
      <c r="S302" s="31"/>
      <c r="T302" s="31"/>
      <c r="U302" s="31"/>
      <c r="V302" s="32"/>
      <c r="W302" s="67" t="s">
        <v>86</v>
      </c>
    </row>
    <row r="303" spans="1:23" ht="28">
      <c r="A303" s="17" t="str">
        <f ca="1">IFERROR(__xludf.DUMMYFUNCTION("""COMPUTED_VALUE"""),"GCSE")</f>
        <v>GCSE</v>
      </c>
      <c r="B303" s="17">
        <f ca="1">IFERROR(__xludf.DUMMYFUNCTION("""COMPUTED_VALUE"""),13)</f>
        <v>13</v>
      </c>
      <c r="C303" s="19" t="str">
        <f ca="1">IFERROR(__xludf.DUMMYFUNCTION("""COMPUTED_VALUE"""),"Network security")</f>
        <v>Network security</v>
      </c>
      <c r="D303" s="17">
        <f ca="1">IFERROR(__xludf.DUMMYFUNCTION("""COMPUTED_VALUE"""),1)</f>
        <v>1</v>
      </c>
      <c r="E303" s="19" t="str">
        <f ca="1">IFERROR(__xludf.DUMMYFUNCTION("""COMPUTED_VALUE"""),"Describe the features of a network that make it vulnerable to attack")</f>
        <v>Describe the features of a network that make it vulnerable to attack</v>
      </c>
      <c r="F303" s="30" t="b">
        <f ca="1">IFERROR(__xludf.DUMMYFUNCTION("""COMPUTED_VALUE"""),TRUE)</f>
        <v>1</v>
      </c>
      <c r="G303" s="26"/>
      <c r="H303" s="27" t="b">
        <f ca="1">IFERROR(__xludf.DUMMYFUNCTION("""COMPUTED_VALUE"""),TRUE)</f>
        <v>1</v>
      </c>
      <c r="I303" s="30"/>
      <c r="J303" s="26"/>
      <c r="K303" s="26"/>
      <c r="L303" s="26"/>
      <c r="M303" s="26"/>
      <c r="N303" s="26"/>
      <c r="O303" s="26"/>
      <c r="P303" s="26" t="b">
        <f ca="1">IFERROR(__xludf.DUMMYFUNCTION("""COMPUTED_VALUE"""),TRUE)</f>
        <v>1</v>
      </c>
      <c r="Q303" s="26"/>
      <c r="R303" s="27" t="b">
        <f ca="1">IFERROR(__xludf.DUMMYFUNCTION("""COMPUTED_VALUE"""),TRUE)</f>
        <v>1</v>
      </c>
      <c r="S303" s="31"/>
      <c r="T303" s="31"/>
      <c r="U303" s="31"/>
      <c r="V303" s="32"/>
      <c r="W303" s="67" t="s">
        <v>86</v>
      </c>
    </row>
    <row r="304" spans="1:23" ht="21">
      <c r="A304" s="17" t="str">
        <f ca="1">IFERROR(__xludf.DUMMYFUNCTION("""COMPUTED_VALUE"""),"GCSE")</f>
        <v>GCSE</v>
      </c>
      <c r="B304" s="17">
        <f ca="1">IFERROR(__xludf.DUMMYFUNCTION("""COMPUTED_VALUE"""),13)</f>
        <v>13</v>
      </c>
      <c r="C304" s="19" t="str">
        <f ca="1">IFERROR(__xludf.DUMMYFUNCTION("""COMPUTED_VALUE"""),"Network security")</f>
        <v>Network security</v>
      </c>
      <c r="D304" s="17">
        <f ca="1">IFERROR(__xludf.DUMMYFUNCTION("""COMPUTED_VALUE"""),1)</f>
        <v>1</v>
      </c>
      <c r="E304" s="19" t="str">
        <f ca="1">IFERROR(__xludf.DUMMYFUNCTION("""COMPUTED_VALUE"""),"Describe the impact of cybercrime on businesses and individuals")</f>
        <v>Describe the impact of cybercrime on businesses and individuals</v>
      </c>
      <c r="F304" s="30" t="b">
        <f ca="1">IFERROR(__xludf.DUMMYFUNCTION("""COMPUTED_VALUE"""),TRUE)</f>
        <v>1</v>
      </c>
      <c r="G304" s="26"/>
      <c r="H304" s="27" t="b">
        <f ca="1">IFERROR(__xludf.DUMMYFUNCTION("""COMPUTED_VALUE"""),TRUE)</f>
        <v>1</v>
      </c>
      <c r="I304" s="30"/>
      <c r="J304" s="26"/>
      <c r="K304" s="26"/>
      <c r="L304" s="26"/>
      <c r="M304" s="26"/>
      <c r="N304" s="26"/>
      <c r="O304" s="26" t="b">
        <f ca="1">IFERROR(__xludf.DUMMYFUNCTION("""COMPUTED_VALUE"""),TRUE)</f>
        <v>1</v>
      </c>
      <c r="P304" s="26" t="b">
        <f ca="1">IFERROR(__xludf.DUMMYFUNCTION("""COMPUTED_VALUE"""),TRUE)</f>
        <v>1</v>
      </c>
      <c r="Q304" s="26"/>
      <c r="R304" s="27" t="b">
        <f ca="1">IFERROR(__xludf.DUMMYFUNCTION("""COMPUTED_VALUE"""),TRUE)</f>
        <v>1</v>
      </c>
      <c r="S304" s="28" t="s">
        <v>28</v>
      </c>
      <c r="T304" s="28" t="s">
        <v>88</v>
      </c>
      <c r="U304" s="28"/>
      <c r="V304" s="29" t="s">
        <v>68</v>
      </c>
      <c r="W304" s="67" t="s">
        <v>51</v>
      </c>
    </row>
    <row r="305" spans="1:23" ht="21">
      <c r="A305" s="17" t="str">
        <f ca="1">IFERROR(__xludf.DUMMYFUNCTION("""COMPUTED_VALUE"""),"GCSE")</f>
        <v>GCSE</v>
      </c>
      <c r="B305" s="17">
        <f ca="1">IFERROR(__xludf.DUMMYFUNCTION("""COMPUTED_VALUE"""),13)</f>
        <v>13</v>
      </c>
      <c r="C305" s="19" t="str">
        <f ca="1">IFERROR(__xludf.DUMMYFUNCTION("""COMPUTED_VALUE"""),"Network security")</f>
        <v>Network security</v>
      </c>
      <c r="D305" s="17">
        <f ca="1">IFERROR(__xludf.DUMMYFUNCTION("""COMPUTED_VALUE"""),2)</f>
        <v>2</v>
      </c>
      <c r="E305" s="19" t="str">
        <f ca="1">IFERROR(__xludf.DUMMYFUNCTION("""COMPUTED_VALUE"""),"Demonstrate knowledge of social engineering in role play and case studies")</f>
        <v>Demonstrate knowledge of social engineering in role play and case studies</v>
      </c>
      <c r="F305" s="30" t="b">
        <f ca="1">IFERROR(__xludf.DUMMYFUNCTION("""COMPUTED_VALUE"""),TRUE)</f>
        <v>1</v>
      </c>
      <c r="G305" s="26"/>
      <c r="H305" s="27" t="b">
        <f ca="1">IFERROR(__xludf.DUMMYFUNCTION("""COMPUTED_VALUE"""),TRUE)</f>
        <v>1</v>
      </c>
      <c r="I305" s="30"/>
      <c r="J305" s="26"/>
      <c r="K305" s="26" t="b">
        <f ca="1">IFERROR(__xludf.DUMMYFUNCTION("""COMPUTED_VALUE"""),TRUE)</f>
        <v>1</v>
      </c>
      <c r="L305" s="26"/>
      <c r="M305" s="26"/>
      <c r="N305" s="26"/>
      <c r="O305" s="26"/>
      <c r="P305" s="26" t="b">
        <f ca="1">IFERROR(__xludf.DUMMYFUNCTION("""COMPUTED_VALUE"""),TRUE)</f>
        <v>1</v>
      </c>
      <c r="Q305" s="26"/>
      <c r="R305" s="27" t="b">
        <f ca="1">IFERROR(__xludf.DUMMYFUNCTION("""COMPUTED_VALUE"""),TRUE)</f>
        <v>1</v>
      </c>
      <c r="S305" s="28" t="s">
        <v>28</v>
      </c>
      <c r="T305" s="28" t="s">
        <v>88</v>
      </c>
      <c r="U305" s="28"/>
      <c r="V305" s="29" t="s">
        <v>68</v>
      </c>
      <c r="W305" s="67"/>
    </row>
    <row r="306" spans="1:23" ht="28">
      <c r="A306" s="17" t="str">
        <f ca="1">IFERROR(__xludf.DUMMYFUNCTION("""COMPUTED_VALUE"""),"GCSE")</f>
        <v>GCSE</v>
      </c>
      <c r="B306" s="17">
        <f ca="1">IFERROR(__xludf.DUMMYFUNCTION("""COMPUTED_VALUE"""),13)</f>
        <v>13</v>
      </c>
      <c r="C306" s="19" t="str">
        <f ca="1">IFERROR(__xludf.DUMMYFUNCTION("""COMPUTED_VALUE"""),"Network security")</f>
        <v>Network security</v>
      </c>
      <c r="D306" s="17">
        <f ca="1">IFERROR(__xludf.DUMMYFUNCTION("""COMPUTED_VALUE"""),2)</f>
        <v>2</v>
      </c>
      <c r="E306" s="19" t="str">
        <f ca="1">IFERROR(__xludf.DUMMYFUNCTION("""COMPUTED_VALUE"""),"Identify and describe non-automated forms of cyberattack and how humans can be the weak points in an organisation")</f>
        <v>Identify and describe non-automated forms of cyberattack and how humans can be the weak points in an organisation</v>
      </c>
      <c r="F306" s="30" t="b">
        <f ca="1">IFERROR(__xludf.DUMMYFUNCTION("""COMPUTED_VALUE"""),TRUE)</f>
        <v>1</v>
      </c>
      <c r="G306" s="26"/>
      <c r="H306" s="27" t="b">
        <f ca="1">IFERROR(__xludf.DUMMYFUNCTION("""COMPUTED_VALUE"""),TRUE)</f>
        <v>1</v>
      </c>
      <c r="I306" s="30"/>
      <c r="J306" s="26"/>
      <c r="K306" s="26" t="b">
        <f ca="1">IFERROR(__xludf.DUMMYFUNCTION("""COMPUTED_VALUE"""),TRUE)</f>
        <v>1</v>
      </c>
      <c r="L306" s="26"/>
      <c r="M306" s="26"/>
      <c r="N306" s="26"/>
      <c r="O306" s="26"/>
      <c r="P306" s="26" t="b">
        <f ca="1">IFERROR(__xludf.DUMMYFUNCTION("""COMPUTED_VALUE"""),TRUE)</f>
        <v>1</v>
      </c>
      <c r="Q306" s="26"/>
      <c r="R306" s="27" t="b">
        <f ca="1">IFERROR(__xludf.DUMMYFUNCTION("""COMPUTED_VALUE"""),TRUE)</f>
        <v>1</v>
      </c>
      <c r="S306" s="28" t="s">
        <v>28</v>
      </c>
      <c r="T306" s="28"/>
      <c r="U306" s="28"/>
      <c r="V306" s="29" t="s">
        <v>68</v>
      </c>
      <c r="W306" s="67"/>
    </row>
    <row r="307" spans="1:23" ht="28">
      <c r="A307" s="17" t="str">
        <f ca="1">IFERROR(__xludf.DUMMYFUNCTION("""COMPUTED_VALUE"""),"GCSE")</f>
        <v>GCSE</v>
      </c>
      <c r="B307" s="17">
        <f ca="1">IFERROR(__xludf.DUMMYFUNCTION("""COMPUTED_VALUE"""),13)</f>
        <v>13</v>
      </c>
      <c r="C307" s="19" t="str">
        <f ca="1">IFERROR(__xludf.DUMMYFUNCTION("""COMPUTED_VALUE"""),"Network security")</f>
        <v>Network security</v>
      </c>
      <c r="D307" s="17">
        <f ca="1">IFERROR(__xludf.DUMMYFUNCTION("""COMPUTED_VALUE"""),3)</f>
        <v>3</v>
      </c>
      <c r="E307" s="19" t="str">
        <f ca="1">IFERROR(__xludf.DUMMYFUNCTION("""COMPUTED_VALUE"""),"Analyse a real cyberattack and identify the network or software weaknesses that enabled it to happen")</f>
        <v>Analyse a real cyberattack and identify the network or software weaknesses that enabled it to happen</v>
      </c>
      <c r="F307" s="30" t="b">
        <f ca="1">IFERROR(__xludf.DUMMYFUNCTION("""COMPUTED_VALUE"""),TRUE)</f>
        <v>1</v>
      </c>
      <c r="G307" s="26"/>
      <c r="H307" s="27" t="b">
        <f ca="1">IFERROR(__xludf.DUMMYFUNCTION("""COMPUTED_VALUE"""),TRUE)</f>
        <v>1</v>
      </c>
      <c r="I307" s="30"/>
      <c r="J307" s="26"/>
      <c r="K307" s="26" t="b">
        <f ca="1">IFERROR(__xludf.DUMMYFUNCTION("""COMPUTED_VALUE"""),TRUE)</f>
        <v>1</v>
      </c>
      <c r="L307" s="26"/>
      <c r="M307" s="26"/>
      <c r="N307" s="26"/>
      <c r="O307" s="26"/>
      <c r="P307" s="26" t="b">
        <f ca="1">IFERROR(__xludf.DUMMYFUNCTION("""COMPUTED_VALUE"""),TRUE)</f>
        <v>1</v>
      </c>
      <c r="Q307" s="26"/>
      <c r="R307" s="27" t="b">
        <f ca="1">IFERROR(__xludf.DUMMYFUNCTION("""COMPUTED_VALUE"""),TRUE)</f>
        <v>1</v>
      </c>
      <c r="S307" s="28" t="s">
        <v>28</v>
      </c>
      <c r="T307" s="28"/>
      <c r="U307" s="28"/>
      <c r="V307" s="29" t="s">
        <v>68</v>
      </c>
      <c r="W307" s="67"/>
    </row>
    <row r="308" spans="1:23" ht="21">
      <c r="A308" s="17" t="str">
        <f ca="1">IFERROR(__xludf.DUMMYFUNCTION("""COMPUTED_VALUE"""),"GCSE")</f>
        <v>GCSE</v>
      </c>
      <c r="B308" s="17">
        <f ca="1">IFERROR(__xludf.DUMMYFUNCTION("""COMPUTED_VALUE"""),13)</f>
        <v>13</v>
      </c>
      <c r="C308" s="19" t="str">
        <f ca="1">IFERROR(__xludf.DUMMYFUNCTION("""COMPUTED_VALUE"""),"Network security")</f>
        <v>Network security</v>
      </c>
      <c r="D308" s="17">
        <f ca="1">IFERROR(__xludf.DUMMYFUNCTION("""COMPUTED_VALUE"""),3)</f>
        <v>3</v>
      </c>
      <c r="E308" s="19" t="str">
        <f ca="1">IFERROR(__xludf.DUMMYFUNCTION("""COMPUTED_VALUE"""),"Describe automated forms of cyberattack")</f>
        <v>Describe automated forms of cyberattack</v>
      </c>
      <c r="F308" s="30" t="b">
        <f ca="1">IFERROR(__xludf.DUMMYFUNCTION("""COMPUTED_VALUE"""),TRUE)</f>
        <v>1</v>
      </c>
      <c r="G308" s="26"/>
      <c r="H308" s="27" t="b">
        <f ca="1">IFERROR(__xludf.DUMMYFUNCTION("""COMPUTED_VALUE"""),TRUE)</f>
        <v>1</v>
      </c>
      <c r="I308" s="30"/>
      <c r="J308" s="26"/>
      <c r="K308" s="26" t="b">
        <f ca="1">IFERROR(__xludf.DUMMYFUNCTION("""COMPUTED_VALUE"""),TRUE)</f>
        <v>1</v>
      </c>
      <c r="L308" s="26"/>
      <c r="M308" s="26"/>
      <c r="N308" s="26"/>
      <c r="O308" s="26"/>
      <c r="P308" s="26" t="b">
        <f ca="1">IFERROR(__xludf.DUMMYFUNCTION("""COMPUTED_VALUE"""),TRUE)</f>
        <v>1</v>
      </c>
      <c r="Q308" s="26"/>
      <c r="R308" s="27" t="b">
        <f ca="1">IFERROR(__xludf.DUMMYFUNCTION("""COMPUTED_VALUE"""),TRUE)</f>
        <v>1</v>
      </c>
      <c r="S308" s="28"/>
      <c r="T308" s="28" t="s">
        <v>88</v>
      </c>
      <c r="U308" s="28"/>
      <c r="V308" s="29" t="s">
        <v>68</v>
      </c>
      <c r="W308" s="67"/>
    </row>
    <row r="309" spans="1:23" ht="28">
      <c r="A309" s="17" t="str">
        <f ca="1">IFERROR(__xludf.DUMMYFUNCTION("""COMPUTED_VALUE"""),"GCSE")</f>
        <v>GCSE</v>
      </c>
      <c r="B309" s="17">
        <f ca="1">IFERROR(__xludf.DUMMYFUNCTION("""COMPUTED_VALUE"""),13)</f>
        <v>13</v>
      </c>
      <c r="C309" s="19" t="str">
        <f ca="1">IFERROR(__xludf.DUMMYFUNCTION("""COMPUTED_VALUE"""),"Network security")</f>
        <v>Network security</v>
      </c>
      <c r="D309" s="17">
        <f ca="1">IFERROR(__xludf.DUMMYFUNCTION("""COMPUTED_VALUE"""),4)</f>
        <v>4</v>
      </c>
      <c r="E309" s="19" t="str">
        <f ca="1">IFERROR(__xludf.DUMMYFUNCTION("""COMPUTED_VALUE"""),"Describe ways in which organisations use software to protect against cyberattacks")</f>
        <v>Describe ways in which organisations use software to protect against cyberattacks</v>
      </c>
      <c r="F309" s="30" t="b">
        <f ca="1">IFERROR(__xludf.DUMMYFUNCTION("""COMPUTED_VALUE"""),TRUE)</f>
        <v>1</v>
      </c>
      <c r="G309" s="26"/>
      <c r="H309" s="27" t="b">
        <f ca="1">IFERROR(__xludf.DUMMYFUNCTION("""COMPUTED_VALUE"""),TRUE)</f>
        <v>1</v>
      </c>
      <c r="I309" s="30"/>
      <c r="J309" s="26"/>
      <c r="K309" s="26" t="b">
        <f ca="1">IFERROR(__xludf.DUMMYFUNCTION("""COMPUTED_VALUE"""),TRUE)</f>
        <v>1</v>
      </c>
      <c r="L309" s="26"/>
      <c r="M309" s="26"/>
      <c r="N309" s="26"/>
      <c r="O309" s="26"/>
      <c r="P309" s="26" t="b">
        <f ca="1">IFERROR(__xludf.DUMMYFUNCTION("""COMPUTED_VALUE"""),TRUE)</f>
        <v>1</v>
      </c>
      <c r="Q309" s="26"/>
      <c r="R309" s="27" t="b">
        <f ca="1">IFERROR(__xludf.DUMMYFUNCTION("""COMPUTED_VALUE"""),TRUE)</f>
        <v>1</v>
      </c>
      <c r="S309" s="28"/>
      <c r="T309" s="28" t="s">
        <v>88</v>
      </c>
      <c r="U309" s="28" t="s">
        <v>89</v>
      </c>
      <c r="V309" s="29" t="s">
        <v>68</v>
      </c>
      <c r="W309" s="67"/>
    </row>
    <row r="310" spans="1:23" ht="28">
      <c r="A310" s="17" t="str">
        <f ca="1">IFERROR(__xludf.DUMMYFUNCTION("""COMPUTED_VALUE"""),"GCSE")</f>
        <v>GCSE</v>
      </c>
      <c r="B310" s="17">
        <f ca="1">IFERROR(__xludf.DUMMYFUNCTION("""COMPUTED_VALUE"""),13)</f>
        <v>13</v>
      </c>
      <c r="C310" s="19" t="str">
        <f ca="1">IFERROR(__xludf.DUMMYFUNCTION("""COMPUTED_VALUE"""),"Network security")</f>
        <v>Network security</v>
      </c>
      <c r="D310" s="17">
        <f ca="1">IFERROR(__xludf.DUMMYFUNCTION("""COMPUTED_VALUE"""),4)</f>
        <v>4</v>
      </c>
      <c r="E310" s="19" t="str">
        <f ca="1">IFERROR(__xludf.DUMMYFUNCTION("""COMPUTED_VALUE"""),"Identify how software can be used to protect from cyberattacks")</f>
        <v>Identify how software can be used to protect from cyberattacks</v>
      </c>
      <c r="F310" s="30" t="b">
        <f ca="1">IFERROR(__xludf.DUMMYFUNCTION("""COMPUTED_VALUE"""),TRUE)</f>
        <v>1</v>
      </c>
      <c r="G310" s="26"/>
      <c r="H310" s="27" t="b">
        <f ca="1">IFERROR(__xludf.DUMMYFUNCTION("""COMPUTED_VALUE"""),TRUE)</f>
        <v>1</v>
      </c>
      <c r="I310" s="30"/>
      <c r="J310" s="26"/>
      <c r="K310" s="26" t="b">
        <f ca="1">IFERROR(__xludf.DUMMYFUNCTION("""COMPUTED_VALUE"""),TRUE)</f>
        <v>1</v>
      </c>
      <c r="L310" s="26" t="b">
        <f ca="1">IFERROR(__xludf.DUMMYFUNCTION("""COMPUTED_VALUE"""),TRUE)</f>
        <v>1</v>
      </c>
      <c r="M310" s="26"/>
      <c r="N310" s="26"/>
      <c r="O310" s="26"/>
      <c r="P310" s="26" t="b">
        <f ca="1">IFERROR(__xludf.DUMMYFUNCTION("""COMPUTED_VALUE"""),TRUE)</f>
        <v>1</v>
      </c>
      <c r="Q310" s="26"/>
      <c r="R310" s="27" t="b">
        <f ca="1">IFERROR(__xludf.DUMMYFUNCTION("""COMPUTED_VALUE"""),TRUE)</f>
        <v>1</v>
      </c>
      <c r="S310" s="28"/>
      <c r="T310" s="28" t="s">
        <v>88</v>
      </c>
      <c r="U310" s="28" t="s">
        <v>89</v>
      </c>
      <c r="V310" s="29" t="s">
        <v>68</v>
      </c>
      <c r="W310" s="67"/>
    </row>
    <row r="311" spans="1:23" ht="28">
      <c r="A311" s="17" t="str">
        <f ca="1">IFERROR(__xludf.DUMMYFUNCTION("""COMPUTED_VALUE"""),"GCSE")</f>
        <v>GCSE</v>
      </c>
      <c r="B311" s="17">
        <f ca="1">IFERROR(__xludf.DUMMYFUNCTION("""COMPUTED_VALUE"""),13)</f>
        <v>13</v>
      </c>
      <c r="C311" s="19" t="str">
        <f ca="1">IFERROR(__xludf.DUMMYFUNCTION("""COMPUTED_VALUE"""),"Network security")</f>
        <v>Network security</v>
      </c>
      <c r="D311" s="17">
        <f ca="1">IFERROR(__xludf.DUMMYFUNCTION("""COMPUTED_VALUE"""),5)</f>
        <v>5</v>
      </c>
      <c r="E311" s="19" t="str">
        <f ca="1">IFERROR(__xludf.DUMMYFUNCTION("""COMPUTED_VALUE"""),"Describe different ways to protect software systems and networks (2 of 2)")</f>
        <v>Describe different ways to protect software systems and networks (2 of 2)</v>
      </c>
      <c r="F311" s="30" t="b">
        <f ca="1">IFERROR(__xludf.DUMMYFUNCTION("""COMPUTED_VALUE"""),TRUE)</f>
        <v>1</v>
      </c>
      <c r="G311" s="26"/>
      <c r="H311" s="27" t="b">
        <f ca="1">IFERROR(__xludf.DUMMYFUNCTION("""COMPUTED_VALUE"""),TRUE)</f>
        <v>1</v>
      </c>
      <c r="I311" s="30"/>
      <c r="J311" s="26"/>
      <c r="K311" s="26" t="b">
        <f ca="1">IFERROR(__xludf.DUMMYFUNCTION("""COMPUTED_VALUE"""),TRUE)</f>
        <v>1</v>
      </c>
      <c r="L311" s="26"/>
      <c r="M311" s="26"/>
      <c r="N311" s="26"/>
      <c r="O311" s="26"/>
      <c r="P311" s="26" t="b">
        <f ca="1">IFERROR(__xludf.DUMMYFUNCTION("""COMPUTED_VALUE"""),TRUE)</f>
        <v>1</v>
      </c>
      <c r="Q311" s="26"/>
      <c r="R311" s="27" t="b">
        <f ca="1">IFERROR(__xludf.DUMMYFUNCTION("""COMPUTED_VALUE"""),TRUE)</f>
        <v>1</v>
      </c>
      <c r="S311" s="28"/>
      <c r="T311" s="31" t="s">
        <v>101</v>
      </c>
      <c r="U311" s="31" t="s">
        <v>89</v>
      </c>
      <c r="V311" s="29" t="s">
        <v>68</v>
      </c>
      <c r="W311" s="67"/>
    </row>
    <row r="312" spans="1:23" ht="28">
      <c r="A312" s="17" t="str">
        <f ca="1">IFERROR(__xludf.DUMMYFUNCTION("""COMPUTED_VALUE"""),"GCSE")</f>
        <v>GCSE</v>
      </c>
      <c r="B312" s="17">
        <f ca="1">IFERROR(__xludf.DUMMYFUNCTION("""COMPUTED_VALUE"""),13)</f>
        <v>13</v>
      </c>
      <c r="C312" s="19" t="str">
        <f ca="1">IFERROR(__xludf.DUMMYFUNCTION("""COMPUTED_VALUE"""),"Network security")</f>
        <v>Network security</v>
      </c>
      <c r="D312" s="17">
        <f ca="1">IFERROR(__xludf.DUMMYFUNCTION("""COMPUTED_VALUE"""),5)</f>
        <v>5</v>
      </c>
      <c r="E312" s="19" t="str">
        <f ca="1">IFERROR(__xludf.DUMMYFUNCTION("""COMPUTED_VALUE"""),"Explain a number of methods of achieving network security")</f>
        <v>Explain a number of methods of achieving network security</v>
      </c>
      <c r="F312" s="30" t="b">
        <f ca="1">IFERROR(__xludf.DUMMYFUNCTION("""COMPUTED_VALUE"""),TRUE)</f>
        <v>1</v>
      </c>
      <c r="G312" s="26"/>
      <c r="H312" s="27" t="b">
        <f ca="1">IFERROR(__xludf.DUMMYFUNCTION("""COMPUTED_VALUE"""),TRUE)</f>
        <v>1</v>
      </c>
      <c r="I312" s="30"/>
      <c r="J312" s="26"/>
      <c r="K312" s="26" t="b">
        <f ca="1">IFERROR(__xludf.DUMMYFUNCTION("""COMPUTED_VALUE"""),TRUE)</f>
        <v>1</v>
      </c>
      <c r="L312" s="26"/>
      <c r="M312" s="26"/>
      <c r="N312" s="26"/>
      <c r="O312" s="26"/>
      <c r="P312" s="26" t="b">
        <f ca="1">IFERROR(__xludf.DUMMYFUNCTION("""COMPUTED_VALUE"""),TRUE)</f>
        <v>1</v>
      </c>
      <c r="Q312" s="26"/>
      <c r="R312" s="27" t="b">
        <f ca="1">IFERROR(__xludf.DUMMYFUNCTION("""COMPUTED_VALUE"""),TRUE)</f>
        <v>1</v>
      </c>
      <c r="S312" s="28"/>
      <c r="T312" s="28" t="s">
        <v>88</v>
      </c>
      <c r="U312" s="28" t="s">
        <v>89</v>
      </c>
      <c r="V312" s="29" t="s">
        <v>68</v>
      </c>
      <c r="W312" s="67"/>
    </row>
    <row r="313" spans="1:23" ht="28">
      <c r="A313" s="17" t="str">
        <f ca="1">IFERROR(__xludf.DUMMYFUNCTION("""COMPUTED_VALUE"""),"GCSE")</f>
        <v>GCSE</v>
      </c>
      <c r="B313" s="17">
        <f ca="1">IFERROR(__xludf.DUMMYFUNCTION("""COMPUTED_VALUE"""),13)</f>
        <v>13</v>
      </c>
      <c r="C313" s="19" t="str">
        <f ca="1">IFERROR(__xludf.DUMMYFUNCTION("""COMPUTED_VALUE"""),"Network security")</f>
        <v>Network security</v>
      </c>
      <c r="D313" s="17">
        <f ca="1">IFERROR(__xludf.DUMMYFUNCTION("""COMPUTED_VALUE"""),5)</f>
        <v>5</v>
      </c>
      <c r="E313" s="19" t="str">
        <f ca="1">IFERROR(__xludf.DUMMYFUNCTION("""COMPUTED_VALUE"""),"Understand the need for, and importance of, network security")</f>
        <v>Understand the need for, and importance of, network security</v>
      </c>
      <c r="F313" s="30" t="b">
        <f ca="1">IFERROR(__xludf.DUMMYFUNCTION("""COMPUTED_VALUE"""),TRUE)</f>
        <v>1</v>
      </c>
      <c r="G313" s="26"/>
      <c r="H313" s="27" t="b">
        <f ca="1">IFERROR(__xludf.DUMMYFUNCTION("""COMPUTED_VALUE"""),TRUE)</f>
        <v>1</v>
      </c>
      <c r="I313" s="30"/>
      <c r="J313" s="26"/>
      <c r="K313" s="26"/>
      <c r="L313" s="26"/>
      <c r="M313" s="26"/>
      <c r="N313" s="26"/>
      <c r="O313" s="26"/>
      <c r="P313" s="26" t="b">
        <f ca="1">IFERROR(__xludf.DUMMYFUNCTION("""COMPUTED_VALUE"""),TRUE)</f>
        <v>1</v>
      </c>
      <c r="Q313" s="26"/>
      <c r="R313" s="27" t="b">
        <f ca="1">IFERROR(__xludf.DUMMYFUNCTION("""COMPUTED_VALUE"""),TRUE)</f>
        <v>1</v>
      </c>
      <c r="S313" s="28"/>
      <c r="T313" s="28" t="s">
        <v>88</v>
      </c>
      <c r="U313" s="28" t="s">
        <v>89</v>
      </c>
      <c r="V313" s="29" t="s">
        <v>68</v>
      </c>
      <c r="W313" s="67"/>
    </row>
    <row r="314" spans="1:23" ht="42">
      <c r="A314" s="17" t="str">
        <f ca="1">IFERROR(__xludf.DUMMYFUNCTION("""COMPUTED_VALUE"""),"GCSE")</f>
        <v>GCSE</v>
      </c>
      <c r="B314" s="17">
        <f ca="1">IFERROR(__xludf.DUMMYFUNCTION("""COMPUTED_VALUE"""),13)</f>
        <v>13</v>
      </c>
      <c r="C314" s="19" t="str">
        <f ca="1">IFERROR(__xludf.DUMMYFUNCTION("""COMPUTED_VALUE"""),"Network security")</f>
        <v>Network security</v>
      </c>
      <c r="D314" s="17">
        <f ca="1">IFERROR(__xludf.DUMMYFUNCTION("""COMPUTED_VALUE"""),6)</f>
        <v>6</v>
      </c>
      <c r="E314" s="19" t="str">
        <f ca="1">IFERROR(__xludf.DUMMYFUNCTION("""COMPUTED_VALUE"""),"Describe different methods of identifying cybersecurity vulnerabilities, such as: penetration testing, ethical hacking, network forensics, commercial analysis tools, review of network and user policies")</f>
        <v>Describe different methods of identifying cybersecurity vulnerabilities, such as: penetration testing, ethical hacking, network forensics, commercial analysis tools, review of network and user policies</v>
      </c>
      <c r="F314" s="30" t="b">
        <f ca="1">IFERROR(__xludf.DUMMYFUNCTION("""COMPUTED_VALUE"""),TRUE)</f>
        <v>1</v>
      </c>
      <c r="G314" s="26"/>
      <c r="H314" s="27" t="b">
        <f ca="1">IFERROR(__xludf.DUMMYFUNCTION("""COMPUTED_VALUE"""),TRUE)</f>
        <v>1</v>
      </c>
      <c r="I314" s="30"/>
      <c r="J314" s="26"/>
      <c r="K314" s="26"/>
      <c r="L314" s="26"/>
      <c r="M314" s="26"/>
      <c r="N314" s="26"/>
      <c r="O314" s="26"/>
      <c r="P314" s="26" t="b">
        <f ca="1">IFERROR(__xludf.DUMMYFUNCTION("""COMPUTED_VALUE"""),TRUE)</f>
        <v>1</v>
      </c>
      <c r="Q314" s="26"/>
      <c r="R314" s="27" t="b">
        <f ca="1">IFERROR(__xludf.DUMMYFUNCTION("""COMPUTED_VALUE"""),TRUE)</f>
        <v>1</v>
      </c>
      <c r="S314" s="28" t="s">
        <v>28</v>
      </c>
      <c r="T314" s="28"/>
      <c r="U314" s="28" t="s">
        <v>89</v>
      </c>
      <c r="V314" s="29" t="s">
        <v>68</v>
      </c>
      <c r="W314" s="67"/>
    </row>
    <row r="315" spans="1:23" ht="21">
      <c r="A315" s="17" t="str">
        <f ca="1">IFERROR(__xludf.DUMMYFUNCTION("""COMPUTED_VALUE"""),"GCSE")</f>
        <v>GCSE</v>
      </c>
      <c r="B315" s="17">
        <f ca="1">IFERROR(__xludf.DUMMYFUNCTION("""COMPUTED_VALUE"""),13)</f>
        <v>13</v>
      </c>
      <c r="C315" s="19" t="str">
        <f ca="1">IFERROR(__xludf.DUMMYFUNCTION("""COMPUTED_VALUE"""),"Network security")</f>
        <v>Network security</v>
      </c>
      <c r="D315" s="17">
        <f ca="1">IFERROR(__xludf.DUMMYFUNCTION("""COMPUTED_VALUE"""),7)</f>
        <v>7</v>
      </c>
      <c r="E315" s="19" t="str">
        <f ca="1">IFERROR(__xludf.DUMMYFUNCTION("""COMPUTED_VALUE"""),"Apply knowledge of cybersecurity to GCSE-style questions")</f>
        <v>Apply knowledge of cybersecurity to GCSE-style questions</v>
      </c>
      <c r="F315" s="30" t="b">
        <f ca="1">IFERROR(__xludf.DUMMYFUNCTION("""COMPUTED_VALUE"""),TRUE)</f>
        <v>1</v>
      </c>
      <c r="G315" s="26"/>
      <c r="H315" s="27" t="b">
        <f ca="1">IFERROR(__xludf.DUMMYFUNCTION("""COMPUTED_VALUE"""),TRUE)</f>
        <v>1</v>
      </c>
      <c r="I315" s="30"/>
      <c r="J315" s="26"/>
      <c r="K315" s="26" t="b">
        <f ca="1">IFERROR(__xludf.DUMMYFUNCTION("""COMPUTED_VALUE"""),TRUE)</f>
        <v>1</v>
      </c>
      <c r="L315" s="26" t="b">
        <f ca="1">IFERROR(__xludf.DUMMYFUNCTION("""COMPUTED_VALUE"""),TRUE)</f>
        <v>1</v>
      </c>
      <c r="M315" s="26"/>
      <c r="N315" s="26"/>
      <c r="O315" s="26" t="b">
        <f ca="1">IFERROR(__xludf.DUMMYFUNCTION("""COMPUTED_VALUE"""),TRUE)</f>
        <v>1</v>
      </c>
      <c r="P315" s="26" t="b">
        <f ca="1">IFERROR(__xludf.DUMMYFUNCTION("""COMPUTED_VALUE"""),TRUE)</f>
        <v>1</v>
      </c>
      <c r="Q315" s="26"/>
      <c r="R315" s="27" t="b">
        <f ca="1">IFERROR(__xludf.DUMMYFUNCTION("""COMPUTED_VALUE"""),TRUE)</f>
        <v>1</v>
      </c>
      <c r="S315" s="28"/>
      <c r="T315" s="31"/>
      <c r="U315" s="28"/>
      <c r="V315" s="29"/>
      <c r="W315" s="67"/>
    </row>
    <row r="316" spans="1:23" ht="21">
      <c r="A316" s="17" t="str">
        <f ca="1">IFERROR(__xludf.DUMMYFUNCTION("""COMPUTED_VALUE"""),"GCSE")</f>
        <v>GCSE</v>
      </c>
      <c r="B316" s="17">
        <f ca="1">IFERROR(__xludf.DUMMYFUNCTION("""COMPUTED_VALUE"""),13)</f>
        <v>13</v>
      </c>
      <c r="C316" s="19" t="str">
        <f ca="1">IFERROR(__xludf.DUMMYFUNCTION("""COMPUTED_VALUE"""),"Network security")</f>
        <v>Network security</v>
      </c>
      <c r="D316" s="17">
        <f ca="1">IFERROR(__xludf.DUMMYFUNCTION("""COMPUTED_VALUE"""),7)</f>
        <v>7</v>
      </c>
      <c r="E316" s="19" t="str">
        <f ca="1">IFERROR(__xludf.DUMMYFUNCTION("""COMPUTED_VALUE"""),"Evaluate the potential for cybersecurity careers")</f>
        <v>Evaluate the potential for cybersecurity careers</v>
      </c>
      <c r="F316" s="30" t="b">
        <f ca="1">IFERROR(__xludf.DUMMYFUNCTION("""COMPUTED_VALUE"""),TRUE)</f>
        <v>1</v>
      </c>
      <c r="G316" s="26"/>
      <c r="H316" s="27" t="b">
        <f ca="1">IFERROR(__xludf.DUMMYFUNCTION("""COMPUTED_VALUE"""),TRUE)</f>
        <v>1</v>
      </c>
      <c r="I316" s="30"/>
      <c r="J316" s="26"/>
      <c r="K316" s="26"/>
      <c r="L316" s="26"/>
      <c r="M316" s="26"/>
      <c r="N316" s="26"/>
      <c r="O316" s="26" t="b">
        <f ca="1">IFERROR(__xludf.DUMMYFUNCTION("""COMPUTED_VALUE"""),TRUE)</f>
        <v>1</v>
      </c>
      <c r="P316" s="26" t="b">
        <f ca="1">IFERROR(__xludf.DUMMYFUNCTION("""COMPUTED_VALUE"""),TRUE)</f>
        <v>1</v>
      </c>
      <c r="Q316" s="26"/>
      <c r="R316" s="27" t="b">
        <f ca="1">IFERROR(__xludf.DUMMYFUNCTION("""COMPUTED_VALUE"""),TRUE)</f>
        <v>1</v>
      </c>
      <c r="S316" s="28"/>
      <c r="T316" s="28" t="s">
        <v>88</v>
      </c>
      <c r="U316" s="28"/>
      <c r="V316" s="29"/>
      <c r="W316" s="67"/>
    </row>
    <row r="317" spans="1:23" ht="28">
      <c r="A317" s="17" t="str">
        <f ca="1">IFERROR(__xludf.DUMMYFUNCTION("""COMPUTED_VALUE"""),"GCSE")</f>
        <v>GCSE</v>
      </c>
      <c r="B317" s="17">
        <f ca="1">IFERROR(__xludf.DUMMYFUNCTION("""COMPUTED_VALUE"""),14)</f>
        <v>14</v>
      </c>
      <c r="C317" s="19" t="str">
        <f ca="1">IFERROR(__xludf.DUMMYFUNCTION("""COMPUTED_VALUE"""),"Databases and SQL")</f>
        <v>Databases and SQL</v>
      </c>
      <c r="D317" s="17">
        <f ca="1">IFERROR(__xludf.DUMMYFUNCTION("""COMPUTED_VALUE"""),1)</f>
        <v>1</v>
      </c>
      <c r="E317" s="19" t="str">
        <f ca="1">IFERROR(__xludf.DUMMYFUNCTION("""COMPUTED_VALUE"""),"Define database key terms (table, record, field, primary key, foreign key)")</f>
        <v>Define database key terms (table, record, field, primary key, foreign key)</v>
      </c>
      <c r="F317" s="30" t="b">
        <f ca="1">IFERROR(__xludf.DUMMYFUNCTION("""COMPUTED_VALUE"""),TRUE)</f>
        <v>1</v>
      </c>
      <c r="G317" s="26"/>
      <c r="H317" s="27"/>
      <c r="I317" s="30"/>
      <c r="J317" s="26"/>
      <c r="K317" s="26"/>
      <c r="L317" s="26"/>
      <c r="M317" s="26" t="b">
        <f ca="1">IFERROR(__xludf.DUMMYFUNCTION("""COMPUTED_VALUE"""),TRUE)</f>
        <v>1</v>
      </c>
      <c r="N317" s="26"/>
      <c r="O317" s="26"/>
      <c r="P317" s="26"/>
      <c r="Q317" s="26"/>
      <c r="R317" s="27"/>
      <c r="S317" s="28"/>
      <c r="T317" s="28" t="s">
        <v>88</v>
      </c>
      <c r="U317" s="28" t="s">
        <v>89</v>
      </c>
      <c r="V317" s="29" t="s">
        <v>68</v>
      </c>
      <c r="W317" s="67"/>
    </row>
    <row r="318" spans="1:23" ht="28">
      <c r="A318" s="17" t="str">
        <f ca="1">IFERROR(__xludf.DUMMYFUNCTION("""COMPUTED_VALUE"""),"GCSE")</f>
        <v>GCSE</v>
      </c>
      <c r="B318" s="17">
        <f ca="1">IFERROR(__xludf.DUMMYFUNCTION("""COMPUTED_VALUE"""),14)</f>
        <v>14</v>
      </c>
      <c r="C318" s="19" t="str">
        <f ca="1">IFERROR(__xludf.DUMMYFUNCTION("""COMPUTED_VALUE"""),"Databases and SQL")</f>
        <v>Databases and SQL</v>
      </c>
      <c r="D318" s="17">
        <f ca="1">IFERROR(__xludf.DUMMYFUNCTION("""COMPUTED_VALUE"""),1)</f>
        <v>1</v>
      </c>
      <c r="E318" s="19" t="str">
        <f ca="1">IFERROR(__xludf.DUMMYFUNCTION("""COMPUTED_VALUE"""),"Describe a database")</f>
        <v>Describe a database</v>
      </c>
      <c r="F318" s="30" t="b">
        <f ca="1">IFERROR(__xludf.DUMMYFUNCTION("""COMPUTED_VALUE"""),TRUE)</f>
        <v>1</v>
      </c>
      <c r="G318" s="26"/>
      <c r="H318" s="27"/>
      <c r="I318" s="30"/>
      <c r="J318" s="26"/>
      <c r="K318" s="26"/>
      <c r="L318" s="26"/>
      <c r="M318" s="26" t="b">
        <f ca="1">IFERROR(__xludf.DUMMYFUNCTION("""COMPUTED_VALUE"""),TRUE)</f>
        <v>1</v>
      </c>
      <c r="N318" s="26"/>
      <c r="O318" s="26"/>
      <c r="P318" s="26"/>
      <c r="Q318" s="26"/>
      <c r="R318" s="27"/>
      <c r="S318" s="28"/>
      <c r="T318" s="28"/>
      <c r="U318" s="28" t="s">
        <v>89</v>
      </c>
      <c r="V318" s="29" t="s">
        <v>68</v>
      </c>
      <c r="W318" s="67"/>
    </row>
    <row r="319" spans="1:23" ht="21">
      <c r="A319" s="17" t="str">
        <f ca="1">IFERROR(__xludf.DUMMYFUNCTION("""COMPUTED_VALUE"""),"GCSE")</f>
        <v>GCSE</v>
      </c>
      <c r="B319" s="17">
        <f ca="1">IFERROR(__xludf.DUMMYFUNCTION("""COMPUTED_VALUE"""),14)</f>
        <v>14</v>
      </c>
      <c r="C319" s="19" t="str">
        <f ca="1">IFERROR(__xludf.DUMMYFUNCTION("""COMPUTED_VALUE"""),"Databases and SQL")</f>
        <v>Databases and SQL</v>
      </c>
      <c r="D319" s="17">
        <f ca="1">IFERROR(__xludf.DUMMYFUNCTION("""COMPUTED_VALUE"""),1)</f>
        <v>1</v>
      </c>
      <c r="E319" s="19" t="str">
        <f ca="1">IFERROR(__xludf.DUMMYFUNCTION("""COMPUTED_VALUE"""),"Describe a flat file database")</f>
        <v>Describe a flat file database</v>
      </c>
      <c r="F319" s="30" t="b">
        <f ca="1">IFERROR(__xludf.DUMMYFUNCTION("""COMPUTED_VALUE"""),TRUE)</f>
        <v>1</v>
      </c>
      <c r="G319" s="26"/>
      <c r="H319" s="27"/>
      <c r="I319" s="30"/>
      <c r="J319" s="26"/>
      <c r="K319" s="26"/>
      <c r="L319" s="26"/>
      <c r="M319" s="26" t="b">
        <f ca="1">IFERROR(__xludf.DUMMYFUNCTION("""COMPUTED_VALUE"""),TRUE)</f>
        <v>1</v>
      </c>
      <c r="N319" s="26"/>
      <c r="O319" s="26"/>
      <c r="P319" s="26"/>
      <c r="Q319" s="26"/>
      <c r="R319" s="27"/>
      <c r="S319" s="28" t="s">
        <v>66</v>
      </c>
      <c r="T319" s="28"/>
      <c r="U319" s="28"/>
      <c r="V319" s="29"/>
      <c r="W319" s="67"/>
    </row>
    <row r="320" spans="1:23" ht="21">
      <c r="A320" s="17" t="str">
        <f ca="1">IFERROR(__xludf.DUMMYFUNCTION("""COMPUTED_VALUE"""),"GCSE")</f>
        <v>GCSE</v>
      </c>
      <c r="B320" s="17">
        <f ca="1">IFERROR(__xludf.DUMMYFUNCTION("""COMPUTED_VALUE"""),14)</f>
        <v>14</v>
      </c>
      <c r="C320" s="19" t="str">
        <f ca="1">IFERROR(__xludf.DUMMYFUNCTION("""COMPUTED_VALUE"""),"Databases and SQL")</f>
        <v>Databases and SQL</v>
      </c>
      <c r="D320" s="17">
        <f ca="1">IFERROR(__xludf.DUMMYFUNCTION("""COMPUTED_VALUE"""),1)</f>
        <v>1</v>
      </c>
      <c r="E320" s="19" t="str">
        <f ca="1">IFERROR(__xludf.DUMMYFUNCTION("""COMPUTED_VALUE"""),"Describe a relational database")</f>
        <v>Describe a relational database</v>
      </c>
      <c r="F320" s="30" t="b">
        <f ca="1">IFERROR(__xludf.DUMMYFUNCTION("""COMPUTED_VALUE"""),TRUE)</f>
        <v>1</v>
      </c>
      <c r="G320" s="26"/>
      <c r="H320" s="27"/>
      <c r="I320" s="30"/>
      <c r="J320" s="26"/>
      <c r="K320" s="26"/>
      <c r="L320" s="26"/>
      <c r="M320" s="26" t="b">
        <f ca="1">IFERROR(__xludf.DUMMYFUNCTION("""COMPUTED_VALUE"""),TRUE)</f>
        <v>1</v>
      </c>
      <c r="N320" s="26"/>
      <c r="O320" s="26"/>
      <c r="P320" s="26"/>
      <c r="Q320" s="26"/>
      <c r="R320" s="27"/>
      <c r="S320" s="28"/>
      <c r="T320" s="28" t="s">
        <v>88</v>
      </c>
      <c r="U320" s="28"/>
      <c r="V320" s="29"/>
      <c r="W320" s="67"/>
    </row>
    <row r="321" spans="1:23" ht="28">
      <c r="A321" s="17" t="str">
        <f ca="1">IFERROR(__xludf.DUMMYFUNCTION("""COMPUTED_VALUE"""),"GCSE")</f>
        <v>GCSE</v>
      </c>
      <c r="B321" s="17">
        <f ca="1">IFERROR(__xludf.DUMMYFUNCTION("""COMPUTED_VALUE"""),14)</f>
        <v>14</v>
      </c>
      <c r="C321" s="19" t="str">
        <f ca="1">IFERROR(__xludf.DUMMYFUNCTION("""COMPUTED_VALUE"""),"Databases and SQL")</f>
        <v>Databases and SQL</v>
      </c>
      <c r="D321" s="17">
        <f ca="1">IFERROR(__xludf.DUMMYFUNCTION("""COMPUTED_VALUE"""),2)</f>
        <v>2</v>
      </c>
      <c r="E321" s="19" t="str">
        <f ca="1">IFERROR(__xludf.DUMMYFUNCTION("""COMPUTED_VALUE"""),"Describe the function of SQL")</f>
        <v>Describe the function of SQL</v>
      </c>
      <c r="F321" s="30" t="b">
        <f ca="1">IFERROR(__xludf.DUMMYFUNCTION("""COMPUTED_VALUE"""),TRUE)</f>
        <v>1</v>
      </c>
      <c r="G321" s="26"/>
      <c r="H321" s="27"/>
      <c r="I321" s="30"/>
      <c r="J321" s="26"/>
      <c r="K321" s="26"/>
      <c r="L321" s="26"/>
      <c r="M321" s="26" t="b">
        <f ca="1">IFERROR(__xludf.DUMMYFUNCTION("""COMPUTED_VALUE"""),TRUE)</f>
        <v>1</v>
      </c>
      <c r="N321" s="26"/>
      <c r="O321" s="26"/>
      <c r="P321" s="26"/>
      <c r="Q321" s="26" t="b">
        <f ca="1">IFERROR(__xludf.DUMMYFUNCTION("""COMPUTED_VALUE"""),TRUE)</f>
        <v>1</v>
      </c>
      <c r="R321" s="27"/>
      <c r="S321" s="28" t="s">
        <v>66</v>
      </c>
      <c r="T321" s="28"/>
      <c r="U321" s="28" t="s">
        <v>89</v>
      </c>
      <c r="V321" s="29" t="s">
        <v>68</v>
      </c>
      <c r="W321" s="67"/>
    </row>
    <row r="322" spans="1:23" ht="21">
      <c r="A322" s="17" t="str">
        <f ca="1">IFERROR(__xludf.DUMMYFUNCTION("""COMPUTED_VALUE"""),"GCSE")</f>
        <v>GCSE</v>
      </c>
      <c r="B322" s="17">
        <f ca="1">IFERROR(__xludf.DUMMYFUNCTION("""COMPUTED_VALUE"""),14)</f>
        <v>14</v>
      </c>
      <c r="C322" s="19" t="str">
        <f ca="1">IFERROR(__xludf.DUMMYFUNCTION("""COMPUTED_VALUE"""),"Databases and SQL")</f>
        <v>Databases and SQL</v>
      </c>
      <c r="D322" s="17">
        <f ca="1">IFERROR(__xludf.DUMMYFUNCTION("""COMPUTED_VALUE"""),2)</f>
        <v>2</v>
      </c>
      <c r="E322" s="19" t="str">
        <f ca="1">IFERROR(__xludf.DUMMYFUNCTION("""COMPUTED_VALUE"""),"Use SQL to retrieve data from a table in a relational database")</f>
        <v>Use SQL to retrieve data from a table in a relational database</v>
      </c>
      <c r="F322" s="30" t="b">
        <f ca="1">IFERROR(__xludf.DUMMYFUNCTION("""COMPUTED_VALUE"""),TRUE)</f>
        <v>1</v>
      </c>
      <c r="G322" s="26"/>
      <c r="H322" s="27"/>
      <c r="I322" s="30"/>
      <c r="J322" s="26"/>
      <c r="K322" s="26"/>
      <c r="L322" s="26"/>
      <c r="M322" s="26" t="b">
        <f ca="1">IFERROR(__xludf.DUMMYFUNCTION("""COMPUTED_VALUE"""),TRUE)</f>
        <v>1</v>
      </c>
      <c r="N322" s="26"/>
      <c r="O322" s="26"/>
      <c r="P322" s="26"/>
      <c r="Q322" s="26" t="b">
        <f ca="1">IFERROR(__xludf.DUMMYFUNCTION("""COMPUTED_VALUE"""),TRUE)</f>
        <v>1</v>
      </c>
      <c r="R322" s="27"/>
      <c r="S322" s="28"/>
      <c r="T322" s="31"/>
      <c r="U322" s="28"/>
      <c r="V322" s="29"/>
      <c r="W322" s="67"/>
    </row>
    <row r="323" spans="1:23" ht="21">
      <c r="A323" s="17" t="str">
        <f ca="1">IFERROR(__xludf.DUMMYFUNCTION("""COMPUTED_VALUE"""),"GCSE")</f>
        <v>GCSE</v>
      </c>
      <c r="B323" s="17">
        <f ca="1">IFERROR(__xludf.DUMMYFUNCTION("""COMPUTED_VALUE"""),14)</f>
        <v>14</v>
      </c>
      <c r="C323" s="19" t="str">
        <f ca="1">IFERROR(__xludf.DUMMYFUNCTION("""COMPUTED_VALUE"""),"Databases and SQL")</f>
        <v>Databases and SQL</v>
      </c>
      <c r="D323" s="17">
        <f ca="1">IFERROR(__xludf.DUMMYFUNCTION("""COMPUTED_VALUE"""),2)</f>
        <v>2</v>
      </c>
      <c r="E323" s="19" t="str">
        <f ca="1">IFERROR(__xludf.DUMMYFUNCTION("""COMPUTED_VALUE"""),"Use SQL to retrieve data from more than one table in a relational database")</f>
        <v>Use SQL to retrieve data from more than one table in a relational database</v>
      </c>
      <c r="F323" s="30" t="b">
        <f ca="1">IFERROR(__xludf.DUMMYFUNCTION("""COMPUTED_VALUE"""),TRUE)</f>
        <v>1</v>
      </c>
      <c r="G323" s="26"/>
      <c r="H323" s="27"/>
      <c r="I323" s="30"/>
      <c r="J323" s="26"/>
      <c r="K323" s="26"/>
      <c r="L323" s="26"/>
      <c r="M323" s="26" t="b">
        <f ca="1">IFERROR(__xludf.DUMMYFUNCTION("""COMPUTED_VALUE"""),TRUE)</f>
        <v>1</v>
      </c>
      <c r="N323" s="26"/>
      <c r="O323" s="26"/>
      <c r="P323" s="26"/>
      <c r="Q323" s="26" t="b">
        <f ca="1">IFERROR(__xludf.DUMMYFUNCTION("""COMPUTED_VALUE"""),TRUE)</f>
        <v>1</v>
      </c>
      <c r="R323" s="27"/>
      <c r="S323" s="28"/>
      <c r="T323" s="28"/>
      <c r="U323" s="28" t="s">
        <v>67</v>
      </c>
      <c r="V323" s="29" t="s">
        <v>68</v>
      </c>
      <c r="W323" s="67"/>
    </row>
    <row r="324" spans="1:23" ht="28">
      <c r="A324" s="17" t="str">
        <f ca="1">IFERROR(__xludf.DUMMYFUNCTION("""COMPUTED_VALUE"""),"GCSE")</f>
        <v>GCSE</v>
      </c>
      <c r="B324" s="17">
        <f ca="1">IFERROR(__xludf.DUMMYFUNCTION("""COMPUTED_VALUE"""),14)</f>
        <v>14</v>
      </c>
      <c r="C324" s="19" t="str">
        <f ca="1">IFERROR(__xludf.DUMMYFUNCTION("""COMPUTED_VALUE"""),"Databases and SQL")</f>
        <v>Databases and SQL</v>
      </c>
      <c r="D324" s="17">
        <f ca="1">IFERROR(__xludf.DUMMYFUNCTION("""COMPUTED_VALUE"""),3)</f>
        <v>3</v>
      </c>
      <c r="E324" s="19" t="str">
        <f ca="1">IFERROR(__xludf.DUMMYFUNCTION("""COMPUTED_VALUE"""),"Describe the function of different data types.")</f>
        <v>Describe the function of different data types.</v>
      </c>
      <c r="F324" s="30" t="b">
        <f ca="1">IFERROR(__xludf.DUMMYFUNCTION("""COMPUTED_VALUE"""),TRUE)</f>
        <v>1</v>
      </c>
      <c r="G324" s="26"/>
      <c r="H324" s="27"/>
      <c r="I324" s="30"/>
      <c r="J324" s="26"/>
      <c r="K324" s="26"/>
      <c r="L324" s="26"/>
      <c r="M324" s="26" t="b">
        <f ca="1">IFERROR(__xludf.DUMMYFUNCTION("""COMPUTED_VALUE"""),TRUE)</f>
        <v>1</v>
      </c>
      <c r="N324" s="26"/>
      <c r="O324" s="26"/>
      <c r="P324" s="26"/>
      <c r="Q324" s="26"/>
      <c r="R324" s="27"/>
      <c r="S324" s="28" t="s">
        <v>28</v>
      </c>
      <c r="T324" s="28" t="s">
        <v>90</v>
      </c>
      <c r="U324" s="28" t="s">
        <v>89</v>
      </c>
      <c r="V324" s="29" t="s">
        <v>68</v>
      </c>
      <c r="W324" s="67"/>
    </row>
    <row r="325" spans="1:23" ht="21">
      <c r="A325" s="17" t="str">
        <f ca="1">IFERROR(__xludf.DUMMYFUNCTION("""COMPUTED_VALUE"""),"GCSE")</f>
        <v>GCSE</v>
      </c>
      <c r="B325" s="17">
        <f ca="1">IFERROR(__xludf.DUMMYFUNCTION("""COMPUTED_VALUE"""),14)</f>
        <v>14</v>
      </c>
      <c r="C325" s="19" t="str">
        <f ca="1">IFERROR(__xludf.DUMMYFUNCTION("""COMPUTED_VALUE"""),"Databases and SQL")</f>
        <v>Databases and SQL</v>
      </c>
      <c r="D325" s="17">
        <f ca="1">IFERROR(__xludf.DUMMYFUNCTION("""COMPUTED_VALUE"""),3)</f>
        <v>3</v>
      </c>
      <c r="E325" s="19" t="str">
        <f ca="1">IFERROR(__xludf.DUMMYFUNCTION("""COMPUTED_VALUE"""),"Use SQL to insert, update and delete data into a relational database")</f>
        <v>Use SQL to insert, update and delete data into a relational database</v>
      </c>
      <c r="F325" s="30" t="b">
        <f ca="1">IFERROR(__xludf.DUMMYFUNCTION("""COMPUTED_VALUE"""),TRUE)</f>
        <v>1</v>
      </c>
      <c r="G325" s="26"/>
      <c r="H325" s="27"/>
      <c r="I325" s="30"/>
      <c r="J325" s="26"/>
      <c r="K325" s="26"/>
      <c r="L325" s="26"/>
      <c r="M325" s="26" t="b">
        <f ca="1">IFERROR(__xludf.DUMMYFUNCTION("""COMPUTED_VALUE"""),TRUE)</f>
        <v>1</v>
      </c>
      <c r="N325" s="26"/>
      <c r="O325" s="26"/>
      <c r="P325" s="26"/>
      <c r="Q325" s="26" t="b">
        <f ca="1">IFERROR(__xludf.DUMMYFUNCTION("""COMPUTED_VALUE"""),TRUE)</f>
        <v>1</v>
      </c>
      <c r="R325" s="27"/>
      <c r="S325" s="28"/>
      <c r="T325" s="28" t="s">
        <v>90</v>
      </c>
      <c r="U325" s="28"/>
      <c r="V325" s="29" t="s">
        <v>68</v>
      </c>
      <c r="W325" s="67"/>
    </row>
    <row r="326" spans="1:23" ht="21">
      <c r="A326" s="17" t="str">
        <f ca="1">IFERROR(__xludf.DUMMYFUNCTION("""COMPUTED_VALUE"""),"GCSE")</f>
        <v>GCSE</v>
      </c>
      <c r="B326" s="17">
        <f ca="1">IFERROR(__xludf.DUMMYFUNCTION("""COMPUTED_VALUE"""),14)</f>
        <v>14</v>
      </c>
      <c r="C326" s="19" t="str">
        <f ca="1">IFERROR(__xludf.DUMMYFUNCTION("""COMPUTED_VALUE"""),"Databases and SQL")</f>
        <v>Databases and SQL</v>
      </c>
      <c r="D326" s="17">
        <f ca="1">IFERROR(__xludf.DUMMYFUNCTION("""COMPUTED_VALUE"""),4)</f>
        <v>4</v>
      </c>
      <c r="E326" s="19" t="str">
        <f ca="1">IFERROR(__xludf.DUMMYFUNCTION("""COMPUTED_VALUE"""),"Interrogate and update an existing database")</f>
        <v>Interrogate and update an existing database</v>
      </c>
      <c r="F326" s="30" t="b">
        <f ca="1">IFERROR(__xludf.DUMMYFUNCTION("""COMPUTED_VALUE"""),TRUE)</f>
        <v>1</v>
      </c>
      <c r="G326" s="26"/>
      <c r="H326" s="27"/>
      <c r="I326" s="30"/>
      <c r="J326" s="26"/>
      <c r="K326" s="26"/>
      <c r="L326" s="26"/>
      <c r="M326" s="26" t="b">
        <f ca="1">IFERROR(__xludf.DUMMYFUNCTION("""COMPUTED_VALUE"""),TRUE)</f>
        <v>1</v>
      </c>
      <c r="N326" s="26"/>
      <c r="O326" s="26"/>
      <c r="P326" s="26"/>
      <c r="Q326" s="26" t="b">
        <f ca="1">IFERROR(__xludf.DUMMYFUNCTION("""COMPUTED_VALUE"""),TRUE)</f>
        <v>1</v>
      </c>
      <c r="R326" s="27"/>
      <c r="S326" s="28"/>
      <c r="T326" s="28"/>
      <c r="U326" s="28"/>
      <c r="V326" s="29" t="s">
        <v>68</v>
      </c>
      <c r="W326" s="67"/>
    </row>
    <row r="327" spans="1:23" ht="21">
      <c r="A327" s="15" t="str">
        <f ca="1">IFERROR(__xludf.DUMMYFUNCTION("""COMPUTED_VALUE"""),"GCSE")</f>
        <v>GCSE</v>
      </c>
      <c r="B327" s="17">
        <f ca="1">IFERROR(__xludf.DUMMYFUNCTION("""COMPUTED_VALUE"""),14)</f>
        <v>14</v>
      </c>
      <c r="C327" s="19" t="str">
        <f ca="1">IFERROR(__xludf.DUMMYFUNCTION("""COMPUTED_VALUE"""),"Databases and SQL")</f>
        <v>Databases and SQL</v>
      </c>
      <c r="D327" s="17">
        <f ca="1">IFERROR(__xludf.DUMMYFUNCTION("""COMPUTED_VALUE"""),5)</f>
        <v>5</v>
      </c>
      <c r="E327" s="20" t="str">
        <f ca="1">IFERROR(__xludf.DUMMYFUNCTION("""COMPUTED_VALUE"""),"Interrogate and update an existing database")</f>
        <v>Interrogate and update an existing database</v>
      </c>
      <c r="F327" s="26" t="b">
        <f ca="1">IFERROR(__xludf.DUMMYFUNCTION("""COMPUTED_VALUE"""),TRUE)</f>
        <v>1</v>
      </c>
      <c r="G327" s="26"/>
      <c r="H327" s="27"/>
      <c r="I327" s="26"/>
      <c r="J327" s="26"/>
      <c r="K327" s="26"/>
      <c r="L327" s="26"/>
      <c r="M327" s="26" t="b">
        <f ca="1">IFERROR(__xludf.DUMMYFUNCTION("""COMPUTED_VALUE"""),TRUE)</f>
        <v>1</v>
      </c>
      <c r="N327" s="26"/>
      <c r="O327" s="26"/>
      <c r="P327" s="26"/>
      <c r="Q327" s="26" t="b">
        <f ca="1">IFERROR(__xludf.DUMMYFUNCTION("""COMPUTED_VALUE"""),TRUE)</f>
        <v>1</v>
      </c>
      <c r="R327" s="27"/>
      <c r="S327" s="28"/>
      <c r="T327" s="28"/>
      <c r="U327" s="28"/>
      <c r="V327" s="29"/>
      <c r="W327" s="28"/>
    </row>
    <row r="328" spans="1:23" ht="21">
      <c r="A328" s="34" t="str">
        <f ca="1">IFERROR(__xludf.DUMMYFUNCTION("""COMPUTED_VALUE"""),"GCSE")</f>
        <v>GCSE</v>
      </c>
      <c r="B328" s="35">
        <f ca="1">IFERROR(__xludf.DUMMYFUNCTION("""COMPUTED_VALUE"""),15)</f>
        <v>15</v>
      </c>
      <c r="C328" s="36" t="str">
        <f ca="1">IFERROR(__xludf.DUMMYFUNCTION("""COMPUTED_VALUE"""),"HTML")</f>
        <v>HTML</v>
      </c>
      <c r="D328" s="35">
        <f ca="1">IFERROR(__xludf.DUMMYFUNCTION("""COMPUTED_VALUE"""),1)</f>
        <v>1</v>
      </c>
      <c r="E328" s="37" t="str">
        <f ca="1">IFERROR(__xludf.DUMMYFUNCTION("""COMPUTED_VALUE"""),"Create a simple web page using basic tags")</f>
        <v>Create a simple web page using basic tags</v>
      </c>
      <c r="F328" s="38" t="b">
        <f ca="1">IFERROR(__xludf.DUMMYFUNCTION("""COMPUTED_VALUE"""),TRUE)</f>
        <v>1</v>
      </c>
      <c r="G328" s="38" t="b">
        <f ca="1">IFERROR(__xludf.DUMMYFUNCTION("""COMPUTED_VALUE"""),TRUE)</f>
        <v>1</v>
      </c>
      <c r="H328" s="39"/>
      <c r="I328" s="38"/>
      <c r="J328" s="38" t="b">
        <f ca="1">IFERROR(__xludf.DUMMYFUNCTION("""COMPUTED_VALUE"""),TRUE)</f>
        <v>1</v>
      </c>
      <c r="K328" s="38"/>
      <c r="L328" s="38"/>
      <c r="M328" s="38"/>
      <c r="N328" s="38"/>
      <c r="O328" s="38"/>
      <c r="P328" s="38" t="b">
        <f ca="1">IFERROR(__xludf.DUMMYFUNCTION("""COMPUTED_VALUE"""),TRUE)</f>
        <v>1</v>
      </c>
      <c r="Q328" s="38" t="b">
        <f ca="1">IFERROR(__xludf.DUMMYFUNCTION("""COMPUTED_VALUE"""),TRUE)</f>
        <v>1</v>
      </c>
      <c r="R328" s="39"/>
      <c r="S328" s="40"/>
      <c r="T328" s="40"/>
      <c r="U328" s="40"/>
      <c r="V328" s="41"/>
      <c r="W328" s="40"/>
    </row>
    <row r="329" spans="1:23" ht="21">
      <c r="A329" s="34" t="str">
        <f ca="1">IFERROR(__xludf.DUMMYFUNCTION("""COMPUTED_VALUE"""),"GCSE")</f>
        <v>GCSE</v>
      </c>
      <c r="B329" s="35">
        <f ca="1">IFERROR(__xludf.DUMMYFUNCTION("""COMPUTED_VALUE"""),15)</f>
        <v>15</v>
      </c>
      <c r="C329" s="36" t="str">
        <f ca="1">IFERROR(__xludf.DUMMYFUNCTION("""COMPUTED_VALUE"""),"HTML")</f>
        <v>HTML</v>
      </c>
      <c r="D329" s="35">
        <f ca="1">IFERROR(__xludf.DUMMYFUNCTION("""COMPUTED_VALUE"""),1)</f>
        <v>1</v>
      </c>
      <c r="E329" s="37" t="str">
        <f ca="1">IFERROR(__xludf.DUMMYFUNCTION("""COMPUTED_VALUE"""),"Describe the purpose of HTML and tags when designing a website")</f>
        <v>Describe the purpose of HTML and tags when designing a website</v>
      </c>
      <c r="F329" s="38" t="b">
        <f ca="1">IFERROR(__xludf.DUMMYFUNCTION("""COMPUTED_VALUE"""),TRUE)</f>
        <v>1</v>
      </c>
      <c r="G329" s="38" t="b">
        <f ca="1">IFERROR(__xludf.DUMMYFUNCTION("""COMPUTED_VALUE"""),TRUE)</f>
        <v>1</v>
      </c>
      <c r="H329" s="39"/>
      <c r="I329" s="38"/>
      <c r="J329" s="38" t="b">
        <f ca="1">IFERROR(__xludf.DUMMYFUNCTION("""COMPUTED_VALUE"""),TRUE)</f>
        <v>1</v>
      </c>
      <c r="K329" s="38"/>
      <c r="L329" s="38" t="b">
        <f ca="1">IFERROR(__xludf.DUMMYFUNCTION("""COMPUTED_VALUE"""),TRUE)</f>
        <v>1</v>
      </c>
      <c r="M329" s="38"/>
      <c r="N329" s="38"/>
      <c r="O329" s="38"/>
      <c r="P329" s="38" t="b">
        <f ca="1">IFERROR(__xludf.DUMMYFUNCTION("""COMPUTED_VALUE"""),TRUE)</f>
        <v>1</v>
      </c>
      <c r="Q329" s="38"/>
      <c r="R329" s="39"/>
      <c r="S329" s="40"/>
      <c r="T329" s="40"/>
      <c r="U329" s="40"/>
      <c r="V329" s="41"/>
      <c r="W329" s="40"/>
    </row>
    <row r="330" spans="1:23" ht="21">
      <c r="A330" s="34" t="str">
        <f ca="1">IFERROR(__xludf.DUMMYFUNCTION("""COMPUTED_VALUE"""),"GCSE")</f>
        <v>GCSE</v>
      </c>
      <c r="B330" s="35">
        <f ca="1">IFERROR(__xludf.DUMMYFUNCTION("""COMPUTED_VALUE"""),15)</f>
        <v>15</v>
      </c>
      <c r="C330" s="36" t="str">
        <f ca="1">IFERROR(__xludf.DUMMYFUNCTION("""COMPUTED_VALUE"""),"HTML")</f>
        <v>HTML</v>
      </c>
      <c r="D330" s="35">
        <f ca="1">IFERROR(__xludf.DUMMYFUNCTION("""COMPUTED_VALUE"""),2)</f>
        <v>2</v>
      </c>
      <c r="E330" s="37" t="str">
        <f ca="1">IFERROR(__xludf.DUMMYFUNCTION("""COMPUTED_VALUE"""),"Describe what is meant by the term ‘accessibility’")</f>
        <v>Describe what is meant by the term ‘accessibility’</v>
      </c>
      <c r="F330" s="38" t="b">
        <f ca="1">IFERROR(__xludf.DUMMYFUNCTION("""COMPUTED_VALUE"""),TRUE)</f>
        <v>1</v>
      </c>
      <c r="G330" s="38" t="b">
        <f ca="1">IFERROR(__xludf.DUMMYFUNCTION("""COMPUTED_VALUE"""),TRUE)</f>
        <v>1</v>
      </c>
      <c r="H330" s="39"/>
      <c r="I330" s="38"/>
      <c r="J330" s="38"/>
      <c r="K330" s="38"/>
      <c r="L330" s="38" t="b">
        <f ca="1">IFERROR(__xludf.DUMMYFUNCTION("""COMPUTED_VALUE"""),TRUE)</f>
        <v>1</v>
      </c>
      <c r="M330" s="38"/>
      <c r="N330" s="38"/>
      <c r="O330" s="38" t="b">
        <f ca="1">IFERROR(__xludf.DUMMYFUNCTION("""COMPUTED_VALUE"""),TRUE)</f>
        <v>1</v>
      </c>
      <c r="P330" s="38" t="b">
        <f ca="1">IFERROR(__xludf.DUMMYFUNCTION("""COMPUTED_VALUE"""),TRUE)</f>
        <v>1</v>
      </c>
      <c r="Q330" s="38"/>
      <c r="R330" s="39"/>
      <c r="S330" s="40"/>
      <c r="T330" s="40"/>
      <c r="U330" s="40"/>
      <c r="V330" s="41"/>
      <c r="W330" s="40"/>
    </row>
    <row r="331" spans="1:23" ht="21">
      <c r="A331" s="34" t="str">
        <f ca="1">IFERROR(__xludf.DUMMYFUNCTION("""COMPUTED_VALUE"""),"GCSE")</f>
        <v>GCSE</v>
      </c>
      <c r="B331" s="35">
        <f ca="1">IFERROR(__xludf.DUMMYFUNCTION("""COMPUTED_VALUE"""),15)</f>
        <v>15</v>
      </c>
      <c r="C331" s="36" t="str">
        <f ca="1">IFERROR(__xludf.DUMMYFUNCTION("""COMPUTED_VALUE"""),"HTML")</f>
        <v>HTML</v>
      </c>
      <c r="D331" s="35">
        <f ca="1">IFERROR(__xludf.DUMMYFUNCTION("""COMPUTED_VALUE"""),2)</f>
        <v>2</v>
      </c>
      <c r="E331" s="37" t="str">
        <f ca="1">IFERROR(__xludf.DUMMYFUNCTION("""COMPUTED_VALUE"""),"Extend a HTML page to include images &lt;img&gt; and hyperlinks &lt;a href&gt;")</f>
        <v>Extend a HTML page to include images &lt;img&gt; and hyperlinks &lt;a href&gt;</v>
      </c>
      <c r="F331" s="38" t="b">
        <f ca="1">IFERROR(__xludf.DUMMYFUNCTION("""COMPUTED_VALUE"""),TRUE)</f>
        <v>1</v>
      </c>
      <c r="G331" s="38" t="b">
        <f ca="1">IFERROR(__xludf.DUMMYFUNCTION("""COMPUTED_VALUE"""),TRUE)</f>
        <v>1</v>
      </c>
      <c r="H331" s="39"/>
      <c r="I331" s="38"/>
      <c r="J331" s="38" t="b">
        <f ca="1">IFERROR(__xludf.DUMMYFUNCTION("""COMPUTED_VALUE"""),TRUE)</f>
        <v>1</v>
      </c>
      <c r="K331" s="38"/>
      <c r="L331" s="38"/>
      <c r="M331" s="38"/>
      <c r="N331" s="38"/>
      <c r="O331" s="38"/>
      <c r="P331" s="38"/>
      <c r="Q331" s="38" t="b">
        <f ca="1">IFERROR(__xludf.DUMMYFUNCTION("""COMPUTED_VALUE"""),TRUE)</f>
        <v>1</v>
      </c>
      <c r="R331" s="39"/>
      <c r="S331" s="40"/>
      <c r="T331" s="40"/>
      <c r="U331" s="40"/>
      <c r="V331" s="41"/>
      <c r="W331" s="40"/>
    </row>
    <row r="332" spans="1:23" ht="21">
      <c r="A332" s="34" t="str">
        <f ca="1">IFERROR(__xludf.DUMMYFUNCTION("""COMPUTED_VALUE"""),"GCSE")</f>
        <v>GCSE</v>
      </c>
      <c r="B332" s="35">
        <f ca="1">IFERROR(__xludf.DUMMYFUNCTION("""COMPUTED_VALUE"""),15)</f>
        <v>15</v>
      </c>
      <c r="C332" s="36" t="str">
        <f ca="1">IFERROR(__xludf.DUMMYFUNCTION("""COMPUTED_VALUE"""),"HTML")</f>
        <v>HTML</v>
      </c>
      <c r="D332" s="35">
        <f ca="1">IFERROR(__xludf.DUMMYFUNCTION("""COMPUTED_VALUE"""),3)</f>
        <v>3</v>
      </c>
      <c r="E332" s="37" t="str">
        <f ca="1">IFERROR(__xludf.DUMMYFUNCTION("""COMPUTED_VALUE"""),"Create hyperlinks between pages stored locally within a folder")</f>
        <v>Create hyperlinks between pages stored locally within a folder</v>
      </c>
      <c r="F332" s="38" t="b">
        <f ca="1">IFERROR(__xludf.DUMMYFUNCTION("""COMPUTED_VALUE"""),TRUE)</f>
        <v>1</v>
      </c>
      <c r="G332" s="38" t="b">
        <f ca="1">IFERROR(__xludf.DUMMYFUNCTION("""COMPUTED_VALUE"""),TRUE)</f>
        <v>1</v>
      </c>
      <c r="H332" s="39"/>
      <c r="I332" s="38"/>
      <c r="J332" s="38" t="b">
        <f ca="1">IFERROR(__xludf.DUMMYFUNCTION("""COMPUTED_VALUE"""),TRUE)</f>
        <v>1</v>
      </c>
      <c r="K332" s="38"/>
      <c r="L332" s="38" t="b">
        <f ca="1">IFERROR(__xludf.DUMMYFUNCTION("""COMPUTED_VALUE"""),TRUE)</f>
        <v>1</v>
      </c>
      <c r="M332" s="38"/>
      <c r="N332" s="38"/>
      <c r="O332" s="38"/>
      <c r="P332" s="38" t="b">
        <f ca="1">IFERROR(__xludf.DUMMYFUNCTION("""COMPUTED_VALUE"""),TRUE)</f>
        <v>1</v>
      </c>
      <c r="Q332" s="38" t="b">
        <f ca="1">IFERROR(__xludf.DUMMYFUNCTION("""COMPUTED_VALUE"""),TRUE)</f>
        <v>1</v>
      </c>
      <c r="R332" s="39"/>
      <c r="S332" s="40"/>
      <c r="T332" s="40"/>
      <c r="U332" s="40"/>
      <c r="V332" s="41"/>
      <c r="W332" s="40"/>
    </row>
    <row r="333" spans="1:23" ht="21">
      <c r="A333" s="34" t="str">
        <f ca="1">IFERROR(__xludf.DUMMYFUNCTION("""COMPUTED_VALUE"""),"GCSE")</f>
        <v>GCSE</v>
      </c>
      <c r="B333" s="35">
        <f ca="1">IFERROR(__xludf.DUMMYFUNCTION("""COMPUTED_VALUE"""),15)</f>
        <v>15</v>
      </c>
      <c r="C333" s="36" t="str">
        <f ca="1">IFERROR(__xludf.DUMMYFUNCTION("""COMPUTED_VALUE"""),"HTML")</f>
        <v>HTML</v>
      </c>
      <c r="D333" s="35">
        <f ca="1">IFERROR(__xludf.DUMMYFUNCTION("""COMPUTED_VALUE"""),3)</f>
        <v>3</v>
      </c>
      <c r="E333" s="37" t="str">
        <f ca="1">IFERROR(__xludf.DUMMYFUNCTION("""COMPUTED_VALUE"""),"Design and create pages for a mini website")</f>
        <v>Design and create pages for a mini website</v>
      </c>
      <c r="F333" s="38" t="b">
        <f ca="1">IFERROR(__xludf.DUMMYFUNCTION("""COMPUTED_VALUE"""),TRUE)</f>
        <v>1</v>
      </c>
      <c r="G333" s="38" t="b">
        <f ca="1">IFERROR(__xludf.DUMMYFUNCTION("""COMPUTED_VALUE"""),TRUE)</f>
        <v>1</v>
      </c>
      <c r="H333" s="39"/>
      <c r="I333" s="38"/>
      <c r="J333" s="38" t="b">
        <f ca="1">IFERROR(__xludf.DUMMYFUNCTION("""COMPUTED_VALUE"""),TRUE)</f>
        <v>1</v>
      </c>
      <c r="K333" s="38"/>
      <c r="L333" s="38" t="b">
        <f ca="1">IFERROR(__xludf.DUMMYFUNCTION("""COMPUTED_VALUE"""),TRUE)</f>
        <v>1</v>
      </c>
      <c r="M333" s="38"/>
      <c r="N333" s="38"/>
      <c r="O333" s="38"/>
      <c r="P333" s="38" t="b">
        <f ca="1">IFERROR(__xludf.DUMMYFUNCTION("""COMPUTED_VALUE"""),TRUE)</f>
        <v>1</v>
      </c>
      <c r="Q333" s="38" t="b">
        <f ca="1">IFERROR(__xludf.DUMMYFUNCTION("""COMPUTED_VALUE"""),TRUE)</f>
        <v>1</v>
      </c>
      <c r="R333" s="39"/>
      <c r="S333" s="40"/>
      <c r="T333" s="40"/>
      <c r="U333" s="40"/>
      <c r="V333" s="41"/>
      <c r="W333" s="40"/>
    </row>
    <row r="334" spans="1:23" ht="28">
      <c r="A334" s="34" t="str">
        <f ca="1">IFERROR(__xludf.DUMMYFUNCTION("""COMPUTED_VALUE"""),"GCSE")</f>
        <v>GCSE</v>
      </c>
      <c r="B334" s="35">
        <f ca="1">IFERROR(__xludf.DUMMYFUNCTION("""COMPUTED_VALUE"""),15)</f>
        <v>15</v>
      </c>
      <c r="C334" s="36" t="str">
        <f ca="1">IFERROR(__xludf.DUMMYFUNCTION("""COMPUTED_VALUE"""),"HTML")</f>
        <v>HTML</v>
      </c>
      <c r="D334" s="35">
        <f ca="1">IFERROR(__xludf.DUMMYFUNCTION("""COMPUTED_VALUE"""),3)</f>
        <v>3</v>
      </c>
      <c r="E334" s="37" t="str">
        <f ca="1">IFERROR(__xludf.DUMMYFUNCTION("""COMPUTED_VALUE"""),"Identify the common features of existing websites and the basics of what makes good web design")</f>
        <v>Identify the common features of existing websites and the basics of what makes good web design</v>
      </c>
      <c r="F334" s="38" t="b">
        <f ca="1">IFERROR(__xludf.DUMMYFUNCTION("""COMPUTED_VALUE"""),TRUE)</f>
        <v>1</v>
      </c>
      <c r="G334" s="38" t="b">
        <f ca="1">IFERROR(__xludf.DUMMYFUNCTION("""COMPUTED_VALUE"""),TRUE)</f>
        <v>1</v>
      </c>
      <c r="H334" s="39"/>
      <c r="I334" s="38"/>
      <c r="J334" s="38"/>
      <c r="K334" s="38"/>
      <c r="L334" s="38" t="b">
        <f ca="1">IFERROR(__xludf.DUMMYFUNCTION("""COMPUTED_VALUE"""),TRUE)</f>
        <v>1</v>
      </c>
      <c r="M334" s="38"/>
      <c r="N334" s="38"/>
      <c r="O334" s="38"/>
      <c r="P334" s="38" t="b">
        <f ca="1">IFERROR(__xludf.DUMMYFUNCTION("""COMPUTED_VALUE"""),TRUE)</f>
        <v>1</v>
      </c>
      <c r="Q334" s="38" t="b">
        <f ca="1">IFERROR(__xludf.DUMMYFUNCTION("""COMPUTED_VALUE"""),TRUE)</f>
        <v>1</v>
      </c>
      <c r="R334" s="39"/>
      <c r="S334" s="40"/>
      <c r="T334" s="40"/>
      <c r="U334" s="40"/>
      <c r="V334" s="41"/>
      <c r="W334" s="40"/>
    </row>
    <row r="335" spans="1:23" ht="21">
      <c r="A335" s="34" t="str">
        <f ca="1">IFERROR(__xludf.DUMMYFUNCTION("""COMPUTED_VALUE"""),"GCSE")</f>
        <v>GCSE</v>
      </c>
      <c r="B335" s="35">
        <f ca="1">IFERROR(__xludf.DUMMYFUNCTION("""COMPUTED_VALUE"""),15)</f>
        <v>15</v>
      </c>
      <c r="C335" s="36" t="str">
        <f ca="1">IFERROR(__xludf.DUMMYFUNCTION("""COMPUTED_VALUE"""),"HTML")</f>
        <v>HTML</v>
      </c>
      <c r="D335" s="35">
        <f ca="1">IFERROR(__xludf.DUMMYFUNCTION("""COMPUTED_VALUE"""),3)</f>
        <v>3</v>
      </c>
      <c r="E335" s="37" t="str">
        <f ca="1">IFERROR(__xludf.DUMMYFUNCTION("""COMPUTED_VALUE"""),"Insert images stored locally within a folder")</f>
        <v>Insert images stored locally within a folder</v>
      </c>
      <c r="F335" s="38" t="b">
        <f ca="1">IFERROR(__xludf.DUMMYFUNCTION("""COMPUTED_VALUE"""),TRUE)</f>
        <v>1</v>
      </c>
      <c r="G335" s="38" t="b">
        <f ca="1">IFERROR(__xludf.DUMMYFUNCTION("""COMPUTED_VALUE"""),TRUE)</f>
        <v>1</v>
      </c>
      <c r="H335" s="39"/>
      <c r="I335" s="38"/>
      <c r="J335" s="38" t="b">
        <f ca="1">IFERROR(__xludf.DUMMYFUNCTION("""COMPUTED_VALUE"""),TRUE)</f>
        <v>1</v>
      </c>
      <c r="K335" s="38"/>
      <c r="L335" s="38" t="b">
        <f ca="1">IFERROR(__xludf.DUMMYFUNCTION("""COMPUTED_VALUE"""),TRUE)</f>
        <v>1</v>
      </c>
      <c r="M335" s="38"/>
      <c r="N335" s="38"/>
      <c r="O335" s="38"/>
      <c r="P335" s="38" t="b">
        <f ca="1">IFERROR(__xludf.DUMMYFUNCTION("""COMPUTED_VALUE"""),TRUE)</f>
        <v>1</v>
      </c>
      <c r="Q335" s="38" t="b">
        <f ca="1">IFERROR(__xludf.DUMMYFUNCTION("""COMPUTED_VALUE"""),TRUE)</f>
        <v>1</v>
      </c>
      <c r="R335" s="39"/>
      <c r="S335" s="40"/>
      <c r="T335" s="40"/>
      <c r="U335" s="40"/>
      <c r="V335" s="41"/>
      <c r="W335" s="40"/>
    </row>
    <row r="336" spans="1:23" ht="21">
      <c r="A336" s="34" t="str">
        <f ca="1">IFERROR(__xludf.DUMMYFUNCTION("""COMPUTED_VALUE"""),"GCSE")</f>
        <v>GCSE</v>
      </c>
      <c r="B336" s="35">
        <f ca="1">IFERROR(__xludf.DUMMYFUNCTION("""COMPUTED_VALUE"""),15)</f>
        <v>15</v>
      </c>
      <c r="C336" s="36" t="str">
        <f ca="1">IFERROR(__xludf.DUMMYFUNCTION("""COMPUTED_VALUE"""),"HTML")</f>
        <v>HTML</v>
      </c>
      <c r="D336" s="35">
        <f ca="1">IFERROR(__xludf.DUMMYFUNCTION("""COMPUTED_VALUE"""),4)</f>
        <v>4</v>
      </c>
      <c r="E336" s="37" t="str">
        <f ca="1">IFERROR(__xludf.DUMMYFUNCTION("""COMPUTED_VALUE"""),"Describe the purpose of CSS and why it is needed in addition to HTML")</f>
        <v>Describe the purpose of CSS and why it is needed in addition to HTML</v>
      </c>
      <c r="F336" s="38" t="b">
        <f ca="1">IFERROR(__xludf.DUMMYFUNCTION("""COMPUTED_VALUE"""),TRUE)</f>
        <v>1</v>
      </c>
      <c r="G336" s="38" t="b">
        <f ca="1">IFERROR(__xludf.DUMMYFUNCTION("""COMPUTED_VALUE"""),TRUE)</f>
        <v>1</v>
      </c>
      <c r="H336" s="39"/>
      <c r="I336" s="38"/>
      <c r="J336" s="38" t="b">
        <f ca="1">IFERROR(__xludf.DUMMYFUNCTION("""COMPUTED_VALUE"""),TRUE)</f>
        <v>1</v>
      </c>
      <c r="K336" s="38"/>
      <c r="L336" s="38" t="b">
        <f ca="1">IFERROR(__xludf.DUMMYFUNCTION("""COMPUTED_VALUE"""),TRUE)</f>
        <v>1</v>
      </c>
      <c r="M336" s="38"/>
      <c r="N336" s="38"/>
      <c r="O336" s="38"/>
      <c r="P336" s="38" t="b">
        <f ca="1">IFERROR(__xludf.DUMMYFUNCTION("""COMPUTED_VALUE"""),TRUE)</f>
        <v>1</v>
      </c>
      <c r="Q336" s="38" t="b">
        <f ca="1">IFERROR(__xludf.DUMMYFUNCTION("""COMPUTED_VALUE"""),TRUE)</f>
        <v>1</v>
      </c>
      <c r="R336" s="39"/>
      <c r="S336" s="40"/>
      <c r="T336" s="40"/>
      <c r="U336" s="40"/>
      <c r="V336" s="41"/>
      <c r="W336" s="40"/>
    </row>
    <row r="337" spans="1:23" ht="21">
      <c r="A337" s="34" t="str">
        <f ca="1">IFERROR(__xludf.DUMMYFUNCTION("""COMPUTED_VALUE"""),"GCSE")</f>
        <v>GCSE</v>
      </c>
      <c r="B337" s="35">
        <f ca="1">IFERROR(__xludf.DUMMYFUNCTION("""COMPUTED_VALUE"""),15)</f>
        <v>15</v>
      </c>
      <c r="C337" s="36" t="str">
        <f ca="1">IFERROR(__xludf.DUMMYFUNCTION("""COMPUTED_VALUE"""),"HTML")</f>
        <v>HTML</v>
      </c>
      <c r="D337" s="35">
        <f ca="1">IFERROR(__xludf.DUMMYFUNCTION("""COMPUTED_VALUE"""),4)</f>
        <v>4</v>
      </c>
      <c r="E337" s="37" t="str">
        <f ca="1">IFERROR(__xludf.DUMMYFUNCTION("""COMPUTED_VALUE"""),"Experiment with CSS by changing the style of the tags learnt so far in this unit")</f>
        <v>Experiment with CSS by changing the style of the tags learnt so far in this unit</v>
      </c>
      <c r="F337" s="38" t="b">
        <f ca="1">IFERROR(__xludf.DUMMYFUNCTION("""COMPUTED_VALUE"""),TRUE)</f>
        <v>1</v>
      </c>
      <c r="G337" s="38" t="b">
        <f ca="1">IFERROR(__xludf.DUMMYFUNCTION("""COMPUTED_VALUE"""),TRUE)</f>
        <v>1</v>
      </c>
      <c r="H337" s="39"/>
      <c r="I337" s="38"/>
      <c r="J337" s="38" t="b">
        <f ca="1">IFERROR(__xludf.DUMMYFUNCTION("""COMPUTED_VALUE"""),TRUE)</f>
        <v>1</v>
      </c>
      <c r="K337" s="38"/>
      <c r="L337" s="38" t="b">
        <f ca="1">IFERROR(__xludf.DUMMYFUNCTION("""COMPUTED_VALUE"""),TRUE)</f>
        <v>1</v>
      </c>
      <c r="M337" s="38"/>
      <c r="N337" s="38"/>
      <c r="O337" s="38"/>
      <c r="P337" s="38" t="b">
        <f ca="1">IFERROR(__xludf.DUMMYFUNCTION("""COMPUTED_VALUE"""),TRUE)</f>
        <v>1</v>
      </c>
      <c r="Q337" s="38" t="b">
        <f ca="1">IFERROR(__xludf.DUMMYFUNCTION("""COMPUTED_VALUE"""),TRUE)</f>
        <v>1</v>
      </c>
      <c r="R337" s="39"/>
      <c r="S337" s="40"/>
      <c r="T337" s="40"/>
      <c r="U337" s="40"/>
      <c r="V337" s="41"/>
      <c r="W337" s="40"/>
    </row>
    <row r="338" spans="1:23" ht="21">
      <c r="A338" s="34" t="str">
        <f ca="1">IFERROR(__xludf.DUMMYFUNCTION("""COMPUTED_VALUE"""),"GCSE")</f>
        <v>GCSE</v>
      </c>
      <c r="B338" s="35">
        <f ca="1">IFERROR(__xludf.DUMMYFUNCTION("""COMPUTED_VALUE"""),15)</f>
        <v>15</v>
      </c>
      <c r="C338" s="36" t="str">
        <f ca="1">IFERROR(__xludf.DUMMYFUNCTION("""COMPUTED_VALUE"""),"HTML")</f>
        <v>HTML</v>
      </c>
      <c r="D338" s="35">
        <f ca="1">IFERROR(__xludf.DUMMYFUNCTION("""COMPUTED_VALUE"""),5)</f>
        <v>5</v>
      </c>
      <c r="E338" s="37" t="str">
        <f ca="1">IFERROR(__xludf.DUMMYFUNCTION("""COMPUTED_VALUE"""),"Apply knowledge of CSS to DIVs within web pages using classes")</f>
        <v>Apply knowledge of CSS to DIVs within web pages using classes</v>
      </c>
      <c r="F338" s="38" t="b">
        <f ca="1">IFERROR(__xludf.DUMMYFUNCTION("""COMPUTED_VALUE"""),TRUE)</f>
        <v>1</v>
      </c>
      <c r="G338" s="38" t="b">
        <f ca="1">IFERROR(__xludf.DUMMYFUNCTION("""COMPUTED_VALUE"""),TRUE)</f>
        <v>1</v>
      </c>
      <c r="H338" s="39"/>
      <c r="I338" s="38"/>
      <c r="J338" s="38"/>
      <c r="K338" s="38"/>
      <c r="L338" s="38" t="b">
        <f ca="1">IFERROR(__xludf.DUMMYFUNCTION("""COMPUTED_VALUE"""),TRUE)</f>
        <v>1</v>
      </c>
      <c r="M338" s="38"/>
      <c r="N338" s="38"/>
      <c r="O338" s="38"/>
      <c r="P338" s="38" t="b">
        <f ca="1">IFERROR(__xludf.DUMMYFUNCTION("""COMPUTED_VALUE"""),TRUE)</f>
        <v>1</v>
      </c>
      <c r="Q338" s="38" t="b">
        <f ca="1">IFERROR(__xludf.DUMMYFUNCTION("""COMPUTED_VALUE"""),TRUE)</f>
        <v>1</v>
      </c>
      <c r="R338" s="39"/>
      <c r="S338" s="40"/>
      <c r="T338" s="40"/>
      <c r="U338" s="40"/>
      <c r="V338" s="41"/>
      <c r="W338" s="40"/>
    </row>
    <row r="339" spans="1:23" ht="21">
      <c r="A339" s="34" t="str">
        <f ca="1">IFERROR(__xludf.DUMMYFUNCTION("""COMPUTED_VALUE"""),"GCSE")</f>
        <v>GCSE</v>
      </c>
      <c r="B339" s="35">
        <f ca="1">IFERROR(__xludf.DUMMYFUNCTION("""COMPUTED_VALUE"""),15)</f>
        <v>15</v>
      </c>
      <c r="C339" s="36" t="str">
        <f ca="1">IFERROR(__xludf.DUMMYFUNCTION("""COMPUTED_VALUE"""),"HTML")</f>
        <v>HTML</v>
      </c>
      <c r="D339" s="35">
        <f ca="1">IFERROR(__xludf.DUMMYFUNCTION("""COMPUTED_VALUE"""),5)</f>
        <v>5</v>
      </c>
      <c r="E339" s="37" t="str">
        <f ca="1">IFERROR(__xludf.DUMMYFUNCTION("""COMPUTED_VALUE"""),"Describe the purpose of DIV tags")</f>
        <v>Describe the purpose of DIV tags</v>
      </c>
      <c r="F339" s="38" t="b">
        <f ca="1">IFERROR(__xludf.DUMMYFUNCTION("""COMPUTED_VALUE"""),TRUE)</f>
        <v>1</v>
      </c>
      <c r="G339" s="38" t="b">
        <f ca="1">IFERROR(__xludf.DUMMYFUNCTION("""COMPUTED_VALUE"""),TRUE)</f>
        <v>1</v>
      </c>
      <c r="H339" s="39"/>
      <c r="I339" s="38"/>
      <c r="J339" s="38"/>
      <c r="K339" s="38"/>
      <c r="L339" s="38" t="b">
        <f ca="1">IFERROR(__xludf.DUMMYFUNCTION("""COMPUTED_VALUE"""),TRUE)</f>
        <v>1</v>
      </c>
      <c r="M339" s="38"/>
      <c r="N339" s="38"/>
      <c r="O339" s="38"/>
      <c r="P339" s="38" t="b">
        <f ca="1">IFERROR(__xludf.DUMMYFUNCTION("""COMPUTED_VALUE"""),TRUE)</f>
        <v>1</v>
      </c>
      <c r="Q339" s="38" t="b">
        <f ca="1">IFERROR(__xludf.DUMMYFUNCTION("""COMPUTED_VALUE"""),TRUE)</f>
        <v>1</v>
      </c>
      <c r="R339" s="39"/>
      <c r="S339" s="40"/>
      <c r="T339" s="40"/>
      <c r="U339" s="40"/>
      <c r="V339" s="41"/>
      <c r="W339" s="40"/>
    </row>
    <row r="340" spans="1:23" ht="21">
      <c r="A340" s="34" t="str">
        <f ca="1">IFERROR(__xludf.DUMMYFUNCTION("""COMPUTED_VALUE"""),"GCSE")</f>
        <v>GCSE</v>
      </c>
      <c r="B340" s="35">
        <f ca="1">IFERROR(__xludf.DUMMYFUNCTION("""COMPUTED_VALUE"""),15)</f>
        <v>15</v>
      </c>
      <c r="C340" s="36" t="str">
        <f ca="1">IFERROR(__xludf.DUMMYFUNCTION("""COMPUTED_VALUE"""),"HTML")</f>
        <v>HTML</v>
      </c>
      <c r="D340" s="35">
        <f ca="1">IFERROR(__xludf.DUMMYFUNCTION("""COMPUTED_VALUE"""),6)</f>
        <v>6</v>
      </c>
      <c r="E340" s="37" t="str">
        <f ca="1">IFERROR(__xludf.DUMMYFUNCTION("""COMPUTED_VALUE"""),"Apply skills to position items within a page")</f>
        <v>Apply skills to position items within a page</v>
      </c>
      <c r="F340" s="38" t="b">
        <f ca="1">IFERROR(__xludf.DUMMYFUNCTION("""COMPUTED_VALUE"""),TRUE)</f>
        <v>1</v>
      </c>
      <c r="G340" s="38" t="b">
        <f ca="1">IFERROR(__xludf.DUMMYFUNCTION("""COMPUTED_VALUE"""),TRUE)</f>
        <v>1</v>
      </c>
      <c r="H340" s="39"/>
      <c r="I340" s="38"/>
      <c r="J340" s="38" t="b">
        <f ca="1">IFERROR(__xludf.DUMMYFUNCTION("""COMPUTED_VALUE"""),TRUE)</f>
        <v>1</v>
      </c>
      <c r="K340" s="38"/>
      <c r="L340" s="38" t="b">
        <f ca="1">IFERROR(__xludf.DUMMYFUNCTION("""COMPUTED_VALUE"""),TRUE)</f>
        <v>1</v>
      </c>
      <c r="M340" s="38"/>
      <c r="N340" s="38"/>
      <c r="O340" s="38"/>
      <c r="P340" s="38" t="b">
        <f ca="1">IFERROR(__xludf.DUMMYFUNCTION("""COMPUTED_VALUE"""),TRUE)</f>
        <v>1</v>
      </c>
      <c r="Q340" s="38" t="b">
        <f ca="1">IFERROR(__xludf.DUMMYFUNCTION("""COMPUTED_VALUE"""),TRUE)</f>
        <v>1</v>
      </c>
      <c r="R340" s="39"/>
      <c r="S340" s="40"/>
      <c r="T340" s="40"/>
      <c r="U340" s="40"/>
      <c r="V340" s="41"/>
      <c r="W340" s="40"/>
    </row>
    <row r="341" spans="1:23" ht="21">
      <c r="A341" s="34" t="str">
        <f ca="1">IFERROR(__xludf.DUMMYFUNCTION("""COMPUTED_VALUE"""),"GCSE")</f>
        <v>GCSE</v>
      </c>
      <c r="B341" s="35">
        <f ca="1">IFERROR(__xludf.DUMMYFUNCTION("""COMPUTED_VALUE"""),15)</f>
        <v>15</v>
      </c>
      <c r="C341" s="36" t="str">
        <f ca="1">IFERROR(__xludf.DUMMYFUNCTION("""COMPUTED_VALUE"""),"HTML")</f>
        <v>HTML</v>
      </c>
      <c r="D341" s="35">
        <f ca="1">IFERROR(__xludf.DUMMYFUNCTION("""COMPUTED_VALUE"""),6)</f>
        <v>6</v>
      </c>
      <c r="E341" s="37" t="str">
        <f ca="1">IFERROR(__xludf.DUMMYFUNCTION("""COMPUTED_VALUE"""),"Describe the box model in CSS")</f>
        <v>Describe the box model in CSS</v>
      </c>
      <c r="F341" s="38" t="b">
        <f ca="1">IFERROR(__xludf.DUMMYFUNCTION("""COMPUTED_VALUE"""),TRUE)</f>
        <v>1</v>
      </c>
      <c r="G341" s="38" t="b">
        <f ca="1">IFERROR(__xludf.DUMMYFUNCTION("""COMPUTED_VALUE"""),TRUE)</f>
        <v>1</v>
      </c>
      <c r="H341" s="39"/>
      <c r="I341" s="38"/>
      <c r="J341" s="38" t="b">
        <f ca="1">IFERROR(__xludf.DUMMYFUNCTION("""COMPUTED_VALUE"""),TRUE)</f>
        <v>1</v>
      </c>
      <c r="K341" s="38"/>
      <c r="L341" s="38" t="b">
        <f ca="1">IFERROR(__xludf.DUMMYFUNCTION("""COMPUTED_VALUE"""),TRUE)</f>
        <v>1</v>
      </c>
      <c r="M341" s="38"/>
      <c r="N341" s="38"/>
      <c r="O341" s="38"/>
      <c r="P341" s="38" t="b">
        <f ca="1">IFERROR(__xludf.DUMMYFUNCTION("""COMPUTED_VALUE"""),TRUE)</f>
        <v>1</v>
      </c>
      <c r="Q341" s="38"/>
      <c r="R341" s="39"/>
      <c r="S341" s="40"/>
      <c r="T341" s="40"/>
      <c r="U341" s="40"/>
      <c r="V341" s="41"/>
      <c r="W341" s="40"/>
    </row>
    <row r="342" spans="1:23" ht="21">
      <c r="A342" s="34" t="str">
        <f ca="1">IFERROR(__xludf.DUMMYFUNCTION("""COMPUTED_VALUE"""),"GCSE")</f>
        <v>GCSE</v>
      </c>
      <c r="B342" s="35">
        <f ca="1">IFERROR(__xludf.DUMMYFUNCTION("""COMPUTED_VALUE"""),15)</f>
        <v>15</v>
      </c>
      <c r="C342" s="36" t="str">
        <f ca="1">IFERROR(__xludf.DUMMYFUNCTION("""COMPUTED_VALUE"""),"HTML")</f>
        <v>HTML</v>
      </c>
      <c r="D342" s="35">
        <f ca="1">IFERROR(__xludf.DUMMYFUNCTION("""COMPUTED_VALUE"""),6)</f>
        <v>6</v>
      </c>
      <c r="E342" s="37" t="str">
        <f ca="1">IFERROR(__xludf.DUMMYFUNCTION("""COMPUTED_VALUE"""),"Explain how to plan a website by developing house style and sketched wireframe")</f>
        <v>Explain how to plan a website by developing house style and sketched wireframe</v>
      </c>
      <c r="F342" s="38" t="b">
        <f ca="1">IFERROR(__xludf.DUMMYFUNCTION("""COMPUTED_VALUE"""),TRUE)</f>
        <v>1</v>
      </c>
      <c r="G342" s="38" t="b">
        <f ca="1">IFERROR(__xludf.DUMMYFUNCTION("""COMPUTED_VALUE"""),TRUE)</f>
        <v>1</v>
      </c>
      <c r="H342" s="39"/>
      <c r="I342" s="38"/>
      <c r="J342" s="38" t="b">
        <f ca="1">IFERROR(__xludf.DUMMYFUNCTION("""COMPUTED_VALUE"""),TRUE)</f>
        <v>1</v>
      </c>
      <c r="K342" s="38"/>
      <c r="L342" s="38" t="b">
        <f ca="1">IFERROR(__xludf.DUMMYFUNCTION("""COMPUTED_VALUE"""),TRUE)</f>
        <v>1</v>
      </c>
      <c r="M342" s="38"/>
      <c r="N342" s="38"/>
      <c r="O342" s="38"/>
      <c r="P342" s="38" t="b">
        <f ca="1">IFERROR(__xludf.DUMMYFUNCTION("""COMPUTED_VALUE"""),TRUE)</f>
        <v>1</v>
      </c>
      <c r="Q342" s="38"/>
      <c r="R342" s="39"/>
      <c r="S342" s="40"/>
      <c r="T342" s="40"/>
      <c r="U342" s="40"/>
      <c r="V342" s="41"/>
      <c r="W342" s="40"/>
    </row>
    <row r="343" spans="1:23" ht="28">
      <c r="A343" s="34" t="str">
        <f ca="1">IFERROR(__xludf.DUMMYFUNCTION("""COMPUTED_VALUE"""),"GCSE")</f>
        <v>GCSE</v>
      </c>
      <c r="B343" s="35">
        <f ca="1">IFERROR(__xludf.DUMMYFUNCTION("""COMPUTED_VALUE"""),15)</f>
        <v>15</v>
      </c>
      <c r="C343" s="36" t="str">
        <f ca="1">IFERROR(__xludf.DUMMYFUNCTION("""COMPUTED_VALUE"""),"HTML")</f>
        <v>HTML</v>
      </c>
      <c r="D343" s="35">
        <f ca="1">IFERROR(__xludf.DUMMYFUNCTION("""COMPUTED_VALUE"""),7)</f>
        <v>7</v>
      </c>
      <c r="E343" s="37" t="str">
        <f ca="1">IFERROR(__xludf.DUMMYFUNCTION("""COMPUTED_VALUE"""),"Construct a three-page website to showcase the skills learned throughout this unit of study")</f>
        <v>Construct a three-page website to showcase the skills learned throughout this unit of study</v>
      </c>
      <c r="F343" s="38" t="b">
        <f ca="1">IFERROR(__xludf.DUMMYFUNCTION("""COMPUTED_VALUE"""),TRUE)</f>
        <v>1</v>
      </c>
      <c r="G343" s="38" t="b">
        <f ca="1">IFERROR(__xludf.DUMMYFUNCTION("""COMPUTED_VALUE"""),TRUE)</f>
        <v>1</v>
      </c>
      <c r="H343" s="39"/>
      <c r="I343" s="38"/>
      <c r="J343" s="38" t="b">
        <f ca="1">IFERROR(__xludf.DUMMYFUNCTION("""COMPUTED_VALUE"""),TRUE)</f>
        <v>1</v>
      </c>
      <c r="K343" s="38"/>
      <c r="L343" s="38" t="b">
        <f ca="1">IFERROR(__xludf.DUMMYFUNCTION("""COMPUTED_VALUE"""),TRUE)</f>
        <v>1</v>
      </c>
      <c r="M343" s="38"/>
      <c r="N343" s="38"/>
      <c r="O343" s="38"/>
      <c r="P343" s="38" t="b">
        <f ca="1">IFERROR(__xludf.DUMMYFUNCTION("""COMPUTED_VALUE"""),TRUE)</f>
        <v>1</v>
      </c>
      <c r="Q343" s="38" t="b">
        <f ca="1">IFERROR(__xludf.DUMMYFUNCTION("""COMPUTED_VALUE"""),TRUE)</f>
        <v>1</v>
      </c>
      <c r="R343" s="39"/>
      <c r="S343" s="40"/>
      <c r="T343" s="40"/>
      <c r="U343" s="40"/>
      <c r="V343" s="41"/>
      <c r="W343" s="40"/>
    </row>
    <row r="344" spans="1:23" ht="21">
      <c r="A344" s="34" t="str">
        <f ca="1">IFERROR(__xludf.DUMMYFUNCTION("""COMPUTED_VALUE"""),"GCSE")</f>
        <v>GCSE</v>
      </c>
      <c r="B344" s="35">
        <f ca="1">IFERROR(__xludf.DUMMYFUNCTION("""COMPUTED_VALUE"""),15)</f>
        <v>15</v>
      </c>
      <c r="C344" s="36" t="str">
        <f ca="1">IFERROR(__xludf.DUMMYFUNCTION("""COMPUTED_VALUE"""),"HTML")</f>
        <v>HTML</v>
      </c>
      <c r="D344" s="35">
        <f ca="1">IFERROR(__xludf.DUMMYFUNCTION("""COMPUTED_VALUE"""),7)</f>
        <v>7</v>
      </c>
      <c r="E344" s="37" t="str">
        <f ca="1">IFERROR(__xludf.DUMMYFUNCTION("""COMPUTED_VALUE"""),"Self/peer evaluate the webpage produced using a rubric")</f>
        <v>Self/peer evaluate the webpage produced using a rubric</v>
      </c>
      <c r="F344" s="38" t="b">
        <f ca="1">IFERROR(__xludf.DUMMYFUNCTION("""COMPUTED_VALUE"""),TRUE)</f>
        <v>1</v>
      </c>
      <c r="G344" s="38" t="b">
        <f ca="1">IFERROR(__xludf.DUMMYFUNCTION("""COMPUTED_VALUE"""),TRUE)</f>
        <v>1</v>
      </c>
      <c r="H344" s="39"/>
      <c r="I344" s="38"/>
      <c r="J344" s="38"/>
      <c r="K344" s="38"/>
      <c r="L344" s="38" t="b">
        <f ca="1">IFERROR(__xludf.DUMMYFUNCTION("""COMPUTED_VALUE"""),TRUE)</f>
        <v>1</v>
      </c>
      <c r="M344" s="38"/>
      <c r="N344" s="38"/>
      <c r="O344" s="38"/>
      <c r="P344" s="38"/>
      <c r="Q344" s="38"/>
      <c r="R344" s="39"/>
      <c r="S344" s="40"/>
      <c r="T344" s="40"/>
      <c r="U344" s="40"/>
      <c r="V344" s="41"/>
      <c r="W344" s="40"/>
    </row>
    <row r="345" spans="1:23" ht="21">
      <c r="A345" s="34" t="str">
        <f ca="1">IFERROR(__xludf.DUMMYFUNCTION("""COMPUTED_VALUE"""),"GCSE")</f>
        <v>GCSE</v>
      </c>
      <c r="B345" s="35">
        <f ca="1">IFERROR(__xludf.DUMMYFUNCTION("""COMPUTED_VALUE"""),15)</f>
        <v>15</v>
      </c>
      <c r="C345" s="36" t="str">
        <f ca="1">IFERROR(__xludf.DUMMYFUNCTION("""COMPUTED_VALUE"""),"HTML")</f>
        <v>HTML</v>
      </c>
      <c r="D345" s="35">
        <f ca="1">IFERROR(__xludf.DUMMYFUNCTION("""COMPUTED_VALUE"""),8)</f>
        <v>8</v>
      </c>
      <c r="E345" s="37" t="str">
        <f ca="1">IFERROR(__xludf.DUMMYFUNCTION("""COMPUTED_VALUE"""),"Demonstrate how much has been learnt by taking an end of unit test")</f>
        <v>Demonstrate how much has been learnt by taking an end of unit test</v>
      </c>
      <c r="F345" s="38" t="b">
        <f ca="1">IFERROR(__xludf.DUMMYFUNCTION("""COMPUTED_VALUE"""),TRUE)</f>
        <v>1</v>
      </c>
      <c r="G345" s="38" t="b">
        <f ca="1">IFERROR(__xludf.DUMMYFUNCTION("""COMPUTED_VALUE"""),TRUE)</f>
        <v>1</v>
      </c>
      <c r="H345" s="39"/>
      <c r="I345" s="38"/>
      <c r="J345" s="38" t="b">
        <f ca="1">IFERROR(__xludf.DUMMYFUNCTION("""COMPUTED_VALUE"""),TRUE)</f>
        <v>1</v>
      </c>
      <c r="K345" s="38"/>
      <c r="L345" s="38" t="b">
        <f ca="1">IFERROR(__xludf.DUMMYFUNCTION("""COMPUTED_VALUE"""),TRUE)</f>
        <v>1</v>
      </c>
      <c r="M345" s="38"/>
      <c r="N345" s="38"/>
      <c r="O345" s="38"/>
      <c r="P345" s="38" t="b">
        <f ca="1">IFERROR(__xludf.DUMMYFUNCTION("""COMPUTED_VALUE"""),TRUE)</f>
        <v>1</v>
      </c>
      <c r="Q345" s="38" t="b">
        <f ca="1">IFERROR(__xludf.DUMMYFUNCTION("""COMPUTED_VALUE"""),TRUE)</f>
        <v>1</v>
      </c>
      <c r="R345" s="39"/>
      <c r="S345" s="40"/>
      <c r="T345" s="40"/>
      <c r="U345" s="40"/>
      <c r="V345" s="41"/>
      <c r="W345" s="40"/>
    </row>
    <row r="346" spans="1:23" ht="21">
      <c r="A346" s="34" t="str">
        <f ca="1">IFERROR(__xludf.DUMMYFUNCTION("""COMPUTED_VALUE"""),"GCSE")</f>
        <v>GCSE</v>
      </c>
      <c r="B346" s="35">
        <f ca="1">IFERROR(__xludf.DUMMYFUNCTION("""COMPUTED_VALUE"""),15)</f>
        <v>15</v>
      </c>
      <c r="C346" s="36" t="str">
        <f ca="1">IFERROR(__xludf.DUMMYFUNCTION("""COMPUTED_VALUE"""),"HTML")</f>
        <v>HTML</v>
      </c>
      <c r="D346" s="35">
        <f ca="1">IFERROR(__xludf.DUMMYFUNCTION("""COMPUTED_VALUE"""),8)</f>
        <v>8</v>
      </c>
      <c r="E346" s="37" t="str">
        <f ca="1">IFERROR(__xludf.DUMMYFUNCTION("""COMPUTED_VALUE"""),"Extend/finish the assessed website")</f>
        <v>Extend/finish the assessed website</v>
      </c>
      <c r="F346" s="38" t="b">
        <f ca="1">IFERROR(__xludf.DUMMYFUNCTION("""COMPUTED_VALUE"""),TRUE)</f>
        <v>1</v>
      </c>
      <c r="G346" s="38" t="b">
        <f ca="1">IFERROR(__xludf.DUMMYFUNCTION("""COMPUTED_VALUE"""),TRUE)</f>
        <v>1</v>
      </c>
      <c r="H346" s="39"/>
      <c r="I346" s="38"/>
      <c r="J346" s="38" t="b">
        <f ca="1">IFERROR(__xludf.DUMMYFUNCTION("""COMPUTED_VALUE"""),TRUE)</f>
        <v>1</v>
      </c>
      <c r="K346" s="38"/>
      <c r="L346" s="38" t="b">
        <f ca="1">IFERROR(__xludf.DUMMYFUNCTION("""COMPUTED_VALUE"""),TRUE)</f>
        <v>1</v>
      </c>
      <c r="M346" s="38"/>
      <c r="N346" s="38"/>
      <c r="O346" s="38"/>
      <c r="P346" s="38" t="b">
        <f ca="1">IFERROR(__xludf.DUMMYFUNCTION("""COMPUTED_VALUE"""),TRUE)</f>
        <v>1</v>
      </c>
      <c r="Q346" s="38" t="b">
        <f ca="1">IFERROR(__xludf.DUMMYFUNCTION("""COMPUTED_VALUE"""),TRUE)</f>
        <v>1</v>
      </c>
      <c r="R346" s="39"/>
      <c r="S346" s="40"/>
      <c r="T346" s="40"/>
      <c r="U346" s="40"/>
      <c r="V346" s="41"/>
      <c r="W346" s="40"/>
    </row>
    <row r="347" spans="1:23" ht="21">
      <c r="A347" s="34" t="str">
        <f ca="1">IFERROR(__xludf.DUMMYFUNCTION("""COMPUTED_VALUE"""),"GCSE")</f>
        <v>GCSE</v>
      </c>
      <c r="B347" s="35">
        <f ca="1">IFERROR(__xludf.DUMMYFUNCTION("""COMPUTED_VALUE"""),15)</f>
        <v>15</v>
      </c>
      <c r="C347" s="36" t="str">
        <f ca="1">IFERROR(__xludf.DUMMYFUNCTION("""COMPUTED_VALUE"""),"HTML")</f>
        <v>HTML</v>
      </c>
      <c r="D347" s="35">
        <f ca="1">IFERROR(__xludf.DUMMYFUNCTION("""COMPUTED_VALUE"""),8)</f>
        <v>8</v>
      </c>
      <c r="E347" s="37" t="str">
        <f ca="1">IFERROR(__xludf.DUMMYFUNCTION("""COMPUTED_VALUE"""),"Showcase the assessed website")</f>
        <v>Showcase the assessed website</v>
      </c>
      <c r="F347" s="38" t="b">
        <f ca="1">IFERROR(__xludf.DUMMYFUNCTION("""COMPUTED_VALUE"""),TRUE)</f>
        <v>1</v>
      </c>
      <c r="G347" s="38" t="b">
        <f ca="1">IFERROR(__xludf.DUMMYFUNCTION("""COMPUTED_VALUE"""),TRUE)</f>
        <v>1</v>
      </c>
      <c r="H347" s="39"/>
      <c r="I347" s="38"/>
      <c r="J347" s="38"/>
      <c r="K347" s="38"/>
      <c r="L347" s="38" t="b">
        <f ca="1">IFERROR(__xludf.DUMMYFUNCTION("""COMPUTED_VALUE"""),TRUE)</f>
        <v>1</v>
      </c>
      <c r="M347" s="38"/>
      <c r="N347" s="38"/>
      <c r="O347" s="38"/>
      <c r="P347" s="38"/>
      <c r="Q347" s="38"/>
      <c r="R347" s="39"/>
      <c r="S347" s="40"/>
      <c r="T347" s="40"/>
      <c r="U347" s="40"/>
      <c r="V347" s="41"/>
      <c r="W347" s="40"/>
    </row>
    <row r="348" spans="1:23" ht="21">
      <c r="A348" s="15" t="str">
        <f ca="1">IFERROR(__xludf.DUMMYFUNCTION("""COMPUTED_VALUE"""),"GCSE")</f>
        <v>GCSE</v>
      </c>
      <c r="B348" s="17">
        <f ca="1">IFERROR(__xludf.DUMMYFUNCTION("""COMPUTED_VALUE"""),16)</f>
        <v>16</v>
      </c>
      <c r="C348" s="19" t="str">
        <f ca="1">IFERROR(__xludf.DUMMYFUNCTION("""COMPUTED_VALUE"""),"Object-oriented programming")</f>
        <v>Object-oriented programming</v>
      </c>
      <c r="D348" s="17">
        <f ca="1">IFERROR(__xludf.DUMMYFUNCTION("""COMPUTED_VALUE"""),1)</f>
        <v>1</v>
      </c>
      <c r="E348" s="20" t="str">
        <f ca="1">IFERROR(__xludf.DUMMYFUNCTION("""COMPUTED_VALUE"""),"Define object-oriented programming")</f>
        <v>Define object-oriented programming</v>
      </c>
      <c r="F348" s="26" t="b">
        <f ca="1">IFERROR(__xludf.DUMMYFUNCTION("""COMPUTED_VALUE"""),TRUE)</f>
        <v>1</v>
      </c>
      <c r="G348" s="26" t="b">
        <f ca="1">IFERROR(__xludf.DUMMYFUNCTION("""COMPUTED_VALUE"""),TRUE)</f>
        <v>1</v>
      </c>
      <c r="H348" s="27"/>
      <c r="I348" s="26"/>
      <c r="J348" s="26"/>
      <c r="K348" s="26"/>
      <c r="L348" s="26"/>
      <c r="M348" s="26"/>
      <c r="N348" s="26"/>
      <c r="O348" s="26"/>
      <c r="P348" s="26"/>
      <c r="Q348" s="26" t="b">
        <f ca="1">IFERROR(__xludf.DUMMYFUNCTION("""COMPUTED_VALUE"""),TRUE)</f>
        <v>1</v>
      </c>
      <c r="R348" s="27"/>
      <c r="S348" s="28"/>
      <c r="T348" s="28"/>
      <c r="U348" s="28"/>
      <c r="V348" s="29"/>
      <c r="W348" s="28"/>
    </row>
    <row r="349" spans="1:23" ht="21">
      <c r="A349" s="15" t="str">
        <f ca="1">IFERROR(__xludf.DUMMYFUNCTION("""COMPUTED_VALUE"""),"GCSE")</f>
        <v>GCSE</v>
      </c>
      <c r="B349" s="17">
        <f ca="1">IFERROR(__xludf.DUMMYFUNCTION("""COMPUTED_VALUE"""),16)</f>
        <v>16</v>
      </c>
      <c r="C349" s="19" t="str">
        <f ca="1">IFERROR(__xludf.DUMMYFUNCTION("""COMPUTED_VALUE"""),"Object-oriented programming")</f>
        <v>Object-oriented programming</v>
      </c>
      <c r="D349" s="17">
        <f ca="1">IFERROR(__xludf.DUMMYFUNCTION("""COMPUTED_VALUE"""),1)</f>
        <v>1</v>
      </c>
      <c r="E349" s="20" t="str">
        <f ca="1">IFERROR(__xludf.DUMMYFUNCTION("""COMPUTED_VALUE"""),"Describe the role of conventions in programming")</f>
        <v>Describe the role of conventions in programming</v>
      </c>
      <c r="F349" s="26" t="b">
        <f ca="1">IFERROR(__xludf.DUMMYFUNCTION("""COMPUTED_VALUE"""),TRUE)</f>
        <v>1</v>
      </c>
      <c r="G349" s="26" t="b">
        <f ca="1">IFERROR(__xludf.DUMMYFUNCTION("""COMPUTED_VALUE"""),TRUE)</f>
        <v>1</v>
      </c>
      <c r="H349" s="27"/>
      <c r="I349" s="26"/>
      <c r="J349" s="26"/>
      <c r="K349" s="26"/>
      <c r="L349" s="26"/>
      <c r="M349" s="26"/>
      <c r="N349" s="26"/>
      <c r="O349" s="26"/>
      <c r="P349" s="26"/>
      <c r="Q349" s="26" t="b">
        <f ca="1">IFERROR(__xludf.DUMMYFUNCTION("""COMPUTED_VALUE"""),TRUE)</f>
        <v>1</v>
      </c>
      <c r="R349" s="27"/>
      <c r="S349" s="28"/>
      <c r="T349" s="28"/>
      <c r="U349" s="28"/>
      <c r="V349" s="29"/>
      <c r="W349" s="28"/>
    </row>
    <row r="350" spans="1:23" ht="21">
      <c r="A350" s="15" t="str">
        <f ca="1">IFERROR(__xludf.DUMMYFUNCTION("""COMPUTED_VALUE"""),"GCSE")</f>
        <v>GCSE</v>
      </c>
      <c r="B350" s="17">
        <f ca="1">IFERROR(__xludf.DUMMYFUNCTION("""COMPUTED_VALUE"""),16)</f>
        <v>16</v>
      </c>
      <c r="C350" s="19" t="str">
        <f ca="1">IFERROR(__xludf.DUMMYFUNCTION("""COMPUTED_VALUE"""),"Object-oriented programming")</f>
        <v>Object-oriented programming</v>
      </c>
      <c r="D350" s="17">
        <f ca="1">IFERROR(__xludf.DUMMYFUNCTION("""COMPUTED_VALUE"""),1)</f>
        <v>1</v>
      </c>
      <c r="E350" s="20" t="str">
        <f ca="1">IFERROR(__xludf.DUMMYFUNCTION("""COMPUTED_VALUE"""),"Identify a class and object as a part of a program")</f>
        <v>Identify a class and object as a part of a program</v>
      </c>
      <c r="F350" s="26" t="b">
        <f ca="1">IFERROR(__xludf.DUMMYFUNCTION("""COMPUTED_VALUE"""),TRUE)</f>
        <v>1</v>
      </c>
      <c r="G350" s="26" t="b">
        <f ca="1">IFERROR(__xludf.DUMMYFUNCTION("""COMPUTED_VALUE"""),TRUE)</f>
        <v>1</v>
      </c>
      <c r="H350" s="27"/>
      <c r="I350" s="26"/>
      <c r="J350" s="26"/>
      <c r="K350" s="26"/>
      <c r="L350" s="26"/>
      <c r="M350" s="26"/>
      <c r="N350" s="26"/>
      <c r="O350" s="26"/>
      <c r="P350" s="26"/>
      <c r="Q350" s="26" t="b">
        <f ca="1">IFERROR(__xludf.DUMMYFUNCTION("""COMPUTED_VALUE"""),TRUE)</f>
        <v>1</v>
      </c>
      <c r="R350" s="27"/>
      <c r="S350" s="28"/>
      <c r="T350" s="28"/>
      <c r="U350" s="28"/>
      <c r="V350" s="29"/>
      <c r="W350" s="28"/>
    </row>
    <row r="351" spans="1:23" ht="21">
      <c r="A351" s="15" t="str">
        <f ca="1">IFERROR(__xludf.DUMMYFUNCTION("""COMPUTED_VALUE"""),"GCSE")</f>
        <v>GCSE</v>
      </c>
      <c r="B351" s="17">
        <f ca="1">IFERROR(__xludf.DUMMYFUNCTION("""COMPUTED_VALUE"""),16)</f>
        <v>16</v>
      </c>
      <c r="C351" s="19" t="str">
        <f ca="1">IFERROR(__xludf.DUMMYFUNCTION("""COMPUTED_VALUE"""),"Object-oriented programming")</f>
        <v>Object-oriented programming</v>
      </c>
      <c r="D351" s="17">
        <f ca="1">IFERROR(__xludf.DUMMYFUNCTION("""COMPUTED_VALUE"""),1)</f>
        <v>1</v>
      </c>
      <c r="E351" s="20" t="str">
        <f ca="1">IFERROR(__xludf.DUMMYFUNCTION("""COMPUTED_VALUE"""),"Recall that there are different paradigms for programming")</f>
        <v>Recall that there are different paradigms for programming</v>
      </c>
      <c r="F351" s="26" t="b">
        <f ca="1">IFERROR(__xludf.DUMMYFUNCTION("""COMPUTED_VALUE"""),TRUE)</f>
        <v>1</v>
      </c>
      <c r="G351" s="26" t="b">
        <f ca="1">IFERROR(__xludf.DUMMYFUNCTION("""COMPUTED_VALUE"""),TRUE)</f>
        <v>1</v>
      </c>
      <c r="H351" s="27"/>
      <c r="I351" s="26"/>
      <c r="J351" s="26"/>
      <c r="K351" s="26"/>
      <c r="L351" s="26"/>
      <c r="M351" s="26"/>
      <c r="N351" s="26"/>
      <c r="O351" s="26"/>
      <c r="P351" s="26"/>
      <c r="Q351" s="26" t="b">
        <f ca="1">IFERROR(__xludf.DUMMYFUNCTION("""COMPUTED_VALUE"""),TRUE)</f>
        <v>1</v>
      </c>
      <c r="R351" s="27"/>
      <c r="S351" s="28"/>
      <c r="T351" s="28"/>
      <c r="U351" s="28"/>
      <c r="V351" s="29"/>
      <c r="W351" s="28"/>
    </row>
    <row r="352" spans="1:23" ht="21">
      <c r="A352" s="15" t="str">
        <f ca="1">IFERROR(__xludf.DUMMYFUNCTION("""COMPUTED_VALUE"""),"GCSE")</f>
        <v>GCSE</v>
      </c>
      <c r="B352" s="17">
        <f ca="1">IFERROR(__xludf.DUMMYFUNCTION("""COMPUTED_VALUE"""),16)</f>
        <v>16</v>
      </c>
      <c r="C352" s="19" t="str">
        <f ca="1">IFERROR(__xludf.DUMMYFUNCTION("""COMPUTED_VALUE"""),"Object-oriented programming")</f>
        <v>Object-oriented programming</v>
      </c>
      <c r="D352" s="17">
        <f ca="1">IFERROR(__xludf.DUMMYFUNCTION("""COMPUTED_VALUE"""),2)</f>
        <v>2</v>
      </c>
      <c r="E352" s="20" t="str">
        <f ca="1">IFERROR(__xludf.DUMMYFUNCTION("""COMPUTED_VALUE"""),"Define attributes and methods as a part of a class")</f>
        <v>Define attributes and methods as a part of a class</v>
      </c>
      <c r="F352" s="26" t="b">
        <f ca="1">IFERROR(__xludf.DUMMYFUNCTION("""COMPUTED_VALUE"""),TRUE)</f>
        <v>1</v>
      </c>
      <c r="G352" s="26" t="b">
        <f ca="1">IFERROR(__xludf.DUMMYFUNCTION("""COMPUTED_VALUE"""),TRUE)</f>
        <v>1</v>
      </c>
      <c r="H352" s="27"/>
      <c r="I352" s="26"/>
      <c r="J352" s="26"/>
      <c r="K352" s="26"/>
      <c r="L352" s="26"/>
      <c r="M352" s="26"/>
      <c r="N352" s="26"/>
      <c r="O352" s="26"/>
      <c r="P352" s="26"/>
      <c r="Q352" s="26" t="b">
        <f ca="1">IFERROR(__xludf.DUMMYFUNCTION("""COMPUTED_VALUE"""),TRUE)</f>
        <v>1</v>
      </c>
      <c r="R352" s="27"/>
      <c r="S352" s="28"/>
      <c r="T352" s="28"/>
      <c r="U352" s="28"/>
      <c r="V352" s="29"/>
      <c r="W352" s="28"/>
    </row>
    <row r="353" spans="1:23" ht="21">
      <c r="A353" s="15" t="str">
        <f ca="1">IFERROR(__xludf.DUMMYFUNCTION("""COMPUTED_VALUE"""),"GCSE")</f>
        <v>GCSE</v>
      </c>
      <c r="B353" s="17">
        <f ca="1">IFERROR(__xludf.DUMMYFUNCTION("""COMPUTED_VALUE"""),16)</f>
        <v>16</v>
      </c>
      <c r="C353" s="19" t="str">
        <f ca="1">IFERROR(__xludf.DUMMYFUNCTION("""COMPUTED_VALUE"""),"Object-oriented programming")</f>
        <v>Object-oriented programming</v>
      </c>
      <c r="D353" s="17">
        <f ca="1">IFERROR(__xludf.DUMMYFUNCTION("""COMPUTED_VALUE"""),2)</f>
        <v>2</v>
      </c>
      <c r="E353" s="20" t="str">
        <f ca="1">IFERROR(__xludf.DUMMYFUNCTION("""COMPUTED_VALUE"""),"Describe the relationship between a class and an object")</f>
        <v>Describe the relationship between a class and an object</v>
      </c>
      <c r="F353" s="26" t="b">
        <f ca="1">IFERROR(__xludf.DUMMYFUNCTION("""COMPUTED_VALUE"""),TRUE)</f>
        <v>1</v>
      </c>
      <c r="G353" s="26" t="b">
        <f ca="1">IFERROR(__xludf.DUMMYFUNCTION("""COMPUTED_VALUE"""),TRUE)</f>
        <v>1</v>
      </c>
      <c r="H353" s="27"/>
      <c r="I353" s="26"/>
      <c r="J353" s="26"/>
      <c r="K353" s="26"/>
      <c r="L353" s="26"/>
      <c r="M353" s="26"/>
      <c r="N353" s="26"/>
      <c r="O353" s="26"/>
      <c r="P353" s="26"/>
      <c r="Q353" s="26" t="b">
        <f ca="1">IFERROR(__xludf.DUMMYFUNCTION("""COMPUTED_VALUE"""),TRUE)</f>
        <v>1</v>
      </c>
      <c r="R353" s="27"/>
      <c r="S353" s="28"/>
      <c r="T353" s="28"/>
      <c r="U353" s="28"/>
      <c r="V353" s="29"/>
      <c r="W353" s="28"/>
    </row>
    <row r="354" spans="1:23" ht="21">
      <c r="A354" s="15" t="str">
        <f ca="1">IFERROR(__xludf.DUMMYFUNCTION("""COMPUTED_VALUE"""),"GCSE")</f>
        <v>GCSE</v>
      </c>
      <c r="B354" s="17">
        <f ca="1">IFERROR(__xludf.DUMMYFUNCTION("""COMPUTED_VALUE"""),16)</f>
        <v>16</v>
      </c>
      <c r="C354" s="19" t="str">
        <f ca="1">IFERROR(__xludf.DUMMYFUNCTION("""COMPUTED_VALUE"""),"Object-oriented programming")</f>
        <v>Object-oriented programming</v>
      </c>
      <c r="D354" s="17">
        <f ca="1">IFERROR(__xludf.DUMMYFUNCTION("""COMPUTED_VALUE"""),2)</f>
        <v>2</v>
      </c>
      <c r="E354" s="20" t="str">
        <f ca="1">IFERROR(__xludf.DUMMYFUNCTION("""COMPUTED_VALUE"""),"Model a real world problem using object oriented programming conventions")</f>
        <v>Model a real world problem using object oriented programming conventions</v>
      </c>
      <c r="F354" s="26" t="b">
        <f ca="1">IFERROR(__xludf.DUMMYFUNCTION("""COMPUTED_VALUE"""),TRUE)</f>
        <v>1</v>
      </c>
      <c r="G354" s="26" t="b">
        <f ca="1">IFERROR(__xludf.DUMMYFUNCTION("""COMPUTED_VALUE"""),TRUE)</f>
        <v>1</v>
      </c>
      <c r="H354" s="27"/>
      <c r="I354" s="26"/>
      <c r="J354" s="26"/>
      <c r="K354" s="26"/>
      <c r="L354" s="26" t="b">
        <f ca="1">IFERROR(__xludf.DUMMYFUNCTION("""COMPUTED_VALUE"""),TRUE)</f>
        <v>1</v>
      </c>
      <c r="M354" s="26"/>
      <c r="N354" s="26"/>
      <c r="O354" s="26"/>
      <c r="P354" s="26"/>
      <c r="Q354" s="26" t="b">
        <f ca="1">IFERROR(__xludf.DUMMYFUNCTION("""COMPUTED_VALUE"""),TRUE)</f>
        <v>1</v>
      </c>
      <c r="R354" s="27"/>
      <c r="S354" s="28"/>
      <c r="T354" s="28"/>
      <c r="U354" s="28"/>
      <c r="V354" s="29"/>
      <c r="W354" s="28"/>
    </row>
    <row r="355" spans="1:23" ht="21">
      <c r="A355" s="15" t="str">
        <f ca="1">IFERROR(__xludf.DUMMYFUNCTION("""COMPUTED_VALUE"""),"GCSE")</f>
        <v>GCSE</v>
      </c>
      <c r="B355" s="17">
        <f ca="1">IFERROR(__xludf.DUMMYFUNCTION("""COMPUTED_VALUE"""),16)</f>
        <v>16</v>
      </c>
      <c r="C355" s="19" t="str">
        <f ca="1">IFERROR(__xludf.DUMMYFUNCTION("""COMPUTED_VALUE"""),"Object-oriented programming")</f>
        <v>Object-oriented programming</v>
      </c>
      <c r="D355" s="17">
        <f ca="1">IFERROR(__xludf.DUMMYFUNCTION("""COMPUTED_VALUE"""),2)</f>
        <v>2</v>
      </c>
      <c r="E355" s="20" t="str">
        <f ca="1">IFERROR(__xludf.DUMMYFUNCTION("""COMPUTED_VALUE"""),"Use a constructor to create objects")</f>
        <v>Use a constructor to create objects</v>
      </c>
      <c r="F355" s="26" t="b">
        <f ca="1">IFERROR(__xludf.DUMMYFUNCTION("""COMPUTED_VALUE"""),TRUE)</f>
        <v>1</v>
      </c>
      <c r="G355" s="26" t="b">
        <f ca="1">IFERROR(__xludf.DUMMYFUNCTION("""COMPUTED_VALUE"""),TRUE)</f>
        <v>1</v>
      </c>
      <c r="H355" s="27"/>
      <c r="I355" s="26"/>
      <c r="J355" s="26"/>
      <c r="K355" s="26"/>
      <c r="L355" s="26"/>
      <c r="M355" s="26"/>
      <c r="N355" s="26"/>
      <c r="O355" s="26"/>
      <c r="P355" s="26"/>
      <c r="Q355" s="26" t="b">
        <f ca="1">IFERROR(__xludf.DUMMYFUNCTION("""COMPUTED_VALUE"""),TRUE)</f>
        <v>1</v>
      </c>
      <c r="R355" s="27"/>
      <c r="S355" s="28"/>
      <c r="T355" s="28"/>
      <c r="U355" s="28"/>
      <c r="V355" s="29"/>
      <c r="W355" s="28"/>
    </row>
    <row r="356" spans="1:23" ht="21">
      <c r="A356" s="15" t="str">
        <f ca="1">IFERROR(__xludf.DUMMYFUNCTION("""COMPUTED_VALUE"""),"GCSE")</f>
        <v>GCSE</v>
      </c>
      <c r="B356" s="17">
        <f ca="1">IFERROR(__xludf.DUMMYFUNCTION("""COMPUTED_VALUE"""),16)</f>
        <v>16</v>
      </c>
      <c r="C356" s="19" t="str">
        <f ca="1">IFERROR(__xludf.DUMMYFUNCTION("""COMPUTED_VALUE"""),"Object-oriented programming")</f>
        <v>Object-oriented programming</v>
      </c>
      <c r="D356" s="17">
        <f ca="1">IFERROR(__xludf.DUMMYFUNCTION("""COMPUTED_VALUE"""),2)</f>
        <v>2</v>
      </c>
      <c r="E356" s="20" t="str">
        <f ca="1">IFERROR(__xludf.DUMMYFUNCTION("""COMPUTED_VALUE"""),"Use a method and access an attribute on an object")</f>
        <v>Use a method and access an attribute on an object</v>
      </c>
      <c r="F356" s="26" t="b">
        <f ca="1">IFERROR(__xludf.DUMMYFUNCTION("""COMPUTED_VALUE"""),TRUE)</f>
        <v>1</v>
      </c>
      <c r="G356" s="26" t="b">
        <f ca="1">IFERROR(__xludf.DUMMYFUNCTION("""COMPUTED_VALUE"""),TRUE)</f>
        <v>1</v>
      </c>
      <c r="H356" s="27"/>
      <c r="I356" s="26"/>
      <c r="J356" s="26"/>
      <c r="K356" s="26"/>
      <c r="L356" s="26"/>
      <c r="M356" s="26"/>
      <c r="N356" s="26"/>
      <c r="O356" s="26"/>
      <c r="P356" s="26"/>
      <c r="Q356" s="26" t="b">
        <f ca="1">IFERROR(__xludf.DUMMYFUNCTION("""COMPUTED_VALUE"""),TRUE)</f>
        <v>1</v>
      </c>
      <c r="R356" s="27"/>
      <c r="S356" s="28"/>
      <c r="T356" s="28"/>
      <c r="U356" s="28"/>
      <c r="V356" s="29"/>
      <c r="W356" s="28"/>
    </row>
    <row r="357" spans="1:23" ht="21">
      <c r="A357" s="15" t="str">
        <f ca="1">IFERROR(__xludf.DUMMYFUNCTION("""COMPUTED_VALUE"""),"GCSE")</f>
        <v>GCSE</v>
      </c>
      <c r="B357" s="17">
        <f ca="1">IFERROR(__xludf.DUMMYFUNCTION("""COMPUTED_VALUE"""),16)</f>
        <v>16</v>
      </c>
      <c r="C357" s="19" t="str">
        <f ca="1">IFERROR(__xludf.DUMMYFUNCTION("""COMPUTED_VALUE"""),"Object-oriented programming")</f>
        <v>Object-oriented programming</v>
      </c>
      <c r="D357" s="17">
        <f ca="1">IFERROR(__xludf.DUMMYFUNCTION("""COMPUTED_VALUE"""),3)</f>
        <v>3</v>
      </c>
      <c r="E357" s="20" t="str">
        <f ca="1">IFERROR(__xludf.DUMMYFUNCTION("""COMPUTED_VALUE"""),"Access and modify attributes using getters and setters")</f>
        <v>Access and modify attributes using getters and setters</v>
      </c>
      <c r="F357" s="26" t="b">
        <f ca="1">IFERROR(__xludf.DUMMYFUNCTION("""COMPUTED_VALUE"""),TRUE)</f>
        <v>1</v>
      </c>
      <c r="G357" s="26" t="b">
        <f ca="1">IFERROR(__xludf.DUMMYFUNCTION("""COMPUTED_VALUE"""),TRUE)</f>
        <v>1</v>
      </c>
      <c r="H357" s="27"/>
      <c r="I357" s="26"/>
      <c r="J357" s="26"/>
      <c r="K357" s="26"/>
      <c r="L357" s="26"/>
      <c r="M357" s="26"/>
      <c r="N357" s="26"/>
      <c r="O357" s="26"/>
      <c r="P357" s="26"/>
      <c r="Q357" s="26" t="b">
        <f ca="1">IFERROR(__xludf.DUMMYFUNCTION("""COMPUTED_VALUE"""),TRUE)</f>
        <v>1</v>
      </c>
      <c r="R357" s="27"/>
      <c r="S357" s="28"/>
      <c r="T357" s="28"/>
      <c r="U357" s="28"/>
      <c r="V357" s="29"/>
      <c r="W357" s="28"/>
    </row>
    <row r="358" spans="1:23" ht="21">
      <c r="A358" s="15" t="str">
        <f ca="1">IFERROR(__xludf.DUMMYFUNCTION("""COMPUTED_VALUE"""),"GCSE")</f>
        <v>GCSE</v>
      </c>
      <c r="B358" s="17">
        <f ca="1">IFERROR(__xludf.DUMMYFUNCTION("""COMPUTED_VALUE"""),16)</f>
        <v>16</v>
      </c>
      <c r="C358" s="19" t="str">
        <f ca="1">IFERROR(__xludf.DUMMYFUNCTION("""COMPUTED_VALUE"""),"Object-oriented programming")</f>
        <v>Object-oriented programming</v>
      </c>
      <c r="D358" s="17">
        <f ca="1">IFERROR(__xludf.DUMMYFUNCTION("""COMPUTED_VALUE"""),3)</f>
        <v>3</v>
      </c>
      <c r="E358" s="20" t="str">
        <f ca="1">IFERROR(__xludf.DUMMYFUNCTION("""COMPUTED_VALUE"""),"Create a class")</f>
        <v>Create a class</v>
      </c>
      <c r="F358" s="26" t="b">
        <f ca="1">IFERROR(__xludf.DUMMYFUNCTION("""COMPUTED_VALUE"""),TRUE)</f>
        <v>1</v>
      </c>
      <c r="G358" s="26" t="b">
        <f ca="1">IFERROR(__xludf.DUMMYFUNCTION("""COMPUTED_VALUE"""),TRUE)</f>
        <v>1</v>
      </c>
      <c r="H358" s="27"/>
      <c r="I358" s="26"/>
      <c r="J358" s="26"/>
      <c r="K358" s="26"/>
      <c r="L358" s="26"/>
      <c r="M358" s="26"/>
      <c r="N358" s="26"/>
      <c r="O358" s="26"/>
      <c r="P358" s="26"/>
      <c r="Q358" s="26" t="b">
        <f ca="1">IFERROR(__xludf.DUMMYFUNCTION("""COMPUTED_VALUE"""),TRUE)</f>
        <v>1</v>
      </c>
      <c r="R358" s="27"/>
      <c r="S358" s="28"/>
      <c r="T358" s="28"/>
      <c r="U358" s="28"/>
      <c r="V358" s="29"/>
      <c r="W358" s="28"/>
    </row>
    <row r="359" spans="1:23" ht="21">
      <c r="A359" s="15" t="str">
        <f ca="1">IFERROR(__xludf.DUMMYFUNCTION("""COMPUTED_VALUE"""),"GCSE")</f>
        <v>GCSE</v>
      </c>
      <c r="B359" s="17">
        <f ca="1">IFERROR(__xludf.DUMMYFUNCTION("""COMPUTED_VALUE"""),16)</f>
        <v>16</v>
      </c>
      <c r="C359" s="19" t="str">
        <f ca="1">IFERROR(__xludf.DUMMYFUNCTION("""COMPUTED_VALUE"""),"Object-oriented programming")</f>
        <v>Object-oriented programming</v>
      </c>
      <c r="D359" s="17">
        <f ca="1">IFERROR(__xludf.DUMMYFUNCTION("""COMPUTED_VALUE"""),3)</f>
        <v>3</v>
      </c>
      <c r="E359" s="20" t="str">
        <f ca="1">IFERROR(__xludf.DUMMYFUNCTION("""COMPUTED_VALUE"""),"Create a method on a class")</f>
        <v>Create a method on a class</v>
      </c>
      <c r="F359" s="26" t="b">
        <f ca="1">IFERROR(__xludf.DUMMYFUNCTION("""COMPUTED_VALUE"""),TRUE)</f>
        <v>1</v>
      </c>
      <c r="G359" s="26" t="b">
        <f ca="1">IFERROR(__xludf.DUMMYFUNCTION("""COMPUTED_VALUE"""),TRUE)</f>
        <v>1</v>
      </c>
      <c r="H359" s="27"/>
      <c r="I359" s="26"/>
      <c r="J359" s="26"/>
      <c r="K359" s="26"/>
      <c r="L359" s="26"/>
      <c r="M359" s="26"/>
      <c r="N359" s="26"/>
      <c r="O359" s="26"/>
      <c r="P359" s="26"/>
      <c r="Q359" s="26" t="b">
        <f ca="1">IFERROR(__xludf.DUMMYFUNCTION("""COMPUTED_VALUE"""),TRUE)</f>
        <v>1</v>
      </c>
      <c r="R359" s="27"/>
      <c r="S359" s="28"/>
      <c r="T359" s="28"/>
      <c r="U359" s="28"/>
      <c r="V359" s="29"/>
      <c r="W359" s="28"/>
    </row>
    <row r="360" spans="1:23" ht="21">
      <c r="A360" s="15" t="str">
        <f ca="1">IFERROR(__xludf.DUMMYFUNCTION("""COMPUTED_VALUE"""),"GCSE")</f>
        <v>GCSE</v>
      </c>
      <c r="B360" s="17">
        <f ca="1">IFERROR(__xludf.DUMMYFUNCTION("""COMPUTED_VALUE"""),16)</f>
        <v>16</v>
      </c>
      <c r="C360" s="19" t="str">
        <f ca="1">IFERROR(__xludf.DUMMYFUNCTION("""COMPUTED_VALUE"""),"Object-oriented programming")</f>
        <v>Object-oriented programming</v>
      </c>
      <c r="D360" s="17">
        <f ca="1">IFERROR(__xludf.DUMMYFUNCTION("""COMPUTED_VALUE"""),3)</f>
        <v>3</v>
      </c>
      <c r="E360" s="20" t="str">
        <f ca="1">IFERROR(__xludf.DUMMYFUNCTION("""COMPUTED_VALUE"""),"Define the use of a self parameter in object-oriented Python")</f>
        <v>Define the use of a self parameter in object-oriented Python</v>
      </c>
      <c r="F360" s="26" t="b">
        <f ca="1">IFERROR(__xludf.DUMMYFUNCTION("""COMPUTED_VALUE"""),TRUE)</f>
        <v>1</v>
      </c>
      <c r="G360" s="26" t="b">
        <f ca="1">IFERROR(__xludf.DUMMYFUNCTION("""COMPUTED_VALUE"""),TRUE)</f>
        <v>1</v>
      </c>
      <c r="H360" s="27"/>
      <c r="I360" s="26"/>
      <c r="J360" s="26"/>
      <c r="K360" s="26"/>
      <c r="L360" s="26"/>
      <c r="M360" s="26"/>
      <c r="N360" s="26"/>
      <c r="O360" s="26"/>
      <c r="P360" s="26"/>
      <c r="Q360" s="26" t="b">
        <f ca="1">IFERROR(__xludf.DUMMYFUNCTION("""COMPUTED_VALUE"""),TRUE)</f>
        <v>1</v>
      </c>
      <c r="R360" s="27"/>
      <c r="S360" s="28"/>
      <c r="T360" s="28"/>
      <c r="U360" s="28"/>
      <c r="V360" s="29"/>
      <c r="W360" s="28"/>
    </row>
    <row r="361" spans="1:23" ht="21">
      <c r="A361" s="15" t="str">
        <f ca="1">IFERROR(__xludf.DUMMYFUNCTION("""COMPUTED_VALUE"""),"GCSE")</f>
        <v>GCSE</v>
      </c>
      <c r="B361" s="17">
        <f ca="1">IFERROR(__xludf.DUMMYFUNCTION("""COMPUTED_VALUE"""),16)</f>
        <v>16</v>
      </c>
      <c r="C361" s="19" t="str">
        <f ca="1">IFERROR(__xludf.DUMMYFUNCTION("""COMPUTED_VALUE"""),"Object-oriented programming")</f>
        <v>Object-oriented programming</v>
      </c>
      <c r="D361" s="17">
        <f ca="1">IFERROR(__xludf.DUMMYFUNCTION("""COMPUTED_VALUE"""),4)</f>
        <v>4</v>
      </c>
      <c r="E361" s="20" t="str">
        <f ca="1">IFERROR(__xludf.DUMMYFUNCTION("""COMPUTED_VALUE"""),"Create a subclass in a program")</f>
        <v>Create a subclass in a program</v>
      </c>
      <c r="F361" s="26" t="b">
        <f ca="1">IFERROR(__xludf.DUMMYFUNCTION("""COMPUTED_VALUE"""),TRUE)</f>
        <v>1</v>
      </c>
      <c r="G361" s="26" t="b">
        <f ca="1">IFERROR(__xludf.DUMMYFUNCTION("""COMPUTED_VALUE"""),TRUE)</f>
        <v>1</v>
      </c>
      <c r="H361" s="27"/>
      <c r="I361" s="26"/>
      <c r="J361" s="26"/>
      <c r="K361" s="26"/>
      <c r="L361" s="26"/>
      <c r="M361" s="26"/>
      <c r="N361" s="26"/>
      <c r="O361" s="26"/>
      <c r="P361" s="26"/>
      <c r="Q361" s="26" t="b">
        <f ca="1">IFERROR(__xludf.DUMMYFUNCTION("""COMPUTED_VALUE"""),TRUE)</f>
        <v>1</v>
      </c>
      <c r="R361" s="27"/>
      <c r="S361" s="28"/>
      <c r="T361" s="28"/>
      <c r="U361" s="28"/>
      <c r="V361" s="29"/>
      <c r="W361" s="28"/>
    </row>
    <row r="362" spans="1:23" ht="21">
      <c r="A362" s="15" t="str">
        <f ca="1">IFERROR(__xludf.DUMMYFUNCTION("""COMPUTED_VALUE"""),"GCSE")</f>
        <v>GCSE</v>
      </c>
      <c r="B362" s="17">
        <f ca="1">IFERROR(__xludf.DUMMYFUNCTION("""COMPUTED_VALUE"""),16)</f>
        <v>16</v>
      </c>
      <c r="C362" s="19" t="str">
        <f ca="1">IFERROR(__xludf.DUMMYFUNCTION("""COMPUTED_VALUE"""),"Object-oriented programming")</f>
        <v>Object-oriented programming</v>
      </c>
      <c r="D362" s="17">
        <f ca="1">IFERROR(__xludf.DUMMYFUNCTION("""COMPUTED_VALUE"""),4)</f>
        <v>4</v>
      </c>
      <c r="E362" s="20" t="str">
        <f ca="1">IFERROR(__xludf.DUMMYFUNCTION("""COMPUTED_VALUE"""),"Define the principle of inheritance")</f>
        <v>Define the principle of inheritance</v>
      </c>
      <c r="F362" s="26" t="b">
        <f ca="1">IFERROR(__xludf.DUMMYFUNCTION("""COMPUTED_VALUE"""),TRUE)</f>
        <v>1</v>
      </c>
      <c r="G362" s="26" t="b">
        <f ca="1">IFERROR(__xludf.DUMMYFUNCTION("""COMPUTED_VALUE"""),TRUE)</f>
        <v>1</v>
      </c>
      <c r="H362" s="27"/>
      <c r="I362" s="26"/>
      <c r="J362" s="26"/>
      <c r="K362" s="26"/>
      <c r="L362" s="26"/>
      <c r="M362" s="26"/>
      <c r="N362" s="26"/>
      <c r="O362" s="26"/>
      <c r="P362" s="26"/>
      <c r="Q362" s="26" t="b">
        <f ca="1">IFERROR(__xludf.DUMMYFUNCTION("""COMPUTED_VALUE"""),TRUE)</f>
        <v>1</v>
      </c>
      <c r="R362" s="27"/>
      <c r="S362" s="28"/>
      <c r="T362" s="28"/>
      <c r="U362" s="28"/>
      <c r="V362" s="29"/>
      <c r="W362" s="28"/>
    </row>
    <row r="363" spans="1:23" ht="21">
      <c r="A363" s="15" t="str">
        <f ca="1">IFERROR(__xludf.DUMMYFUNCTION("""COMPUTED_VALUE"""),"GCSE")</f>
        <v>GCSE</v>
      </c>
      <c r="B363" s="17">
        <f ca="1">IFERROR(__xludf.DUMMYFUNCTION("""COMPUTED_VALUE"""),16)</f>
        <v>16</v>
      </c>
      <c r="C363" s="19" t="str">
        <f ca="1">IFERROR(__xludf.DUMMYFUNCTION("""COMPUTED_VALUE"""),"Object-oriented programming")</f>
        <v>Object-oriented programming</v>
      </c>
      <c r="D363" s="17">
        <f ca="1">IFERROR(__xludf.DUMMYFUNCTION("""COMPUTED_VALUE"""),4)</f>
        <v>4</v>
      </c>
      <c r="E363" s="20" t="str">
        <f ca="1">IFERROR(__xludf.DUMMYFUNCTION("""COMPUTED_VALUE"""),"Define the terms superclass and subclass")</f>
        <v>Define the terms superclass and subclass</v>
      </c>
      <c r="F363" s="26" t="b">
        <f ca="1">IFERROR(__xludf.DUMMYFUNCTION("""COMPUTED_VALUE"""),TRUE)</f>
        <v>1</v>
      </c>
      <c r="G363" s="26" t="b">
        <f ca="1">IFERROR(__xludf.DUMMYFUNCTION("""COMPUTED_VALUE"""),TRUE)</f>
        <v>1</v>
      </c>
      <c r="H363" s="27"/>
      <c r="I363" s="26"/>
      <c r="J363" s="26"/>
      <c r="K363" s="26"/>
      <c r="L363" s="26"/>
      <c r="M363" s="26"/>
      <c r="N363" s="26"/>
      <c r="O363" s="26"/>
      <c r="P363" s="26"/>
      <c r="Q363" s="26" t="b">
        <f ca="1">IFERROR(__xludf.DUMMYFUNCTION("""COMPUTED_VALUE"""),TRUE)</f>
        <v>1</v>
      </c>
      <c r="R363" s="27"/>
      <c r="S363" s="28"/>
      <c r="T363" s="28"/>
      <c r="U363" s="28"/>
      <c r="V363" s="29"/>
      <c r="W363" s="28"/>
    </row>
    <row r="364" spans="1:23" ht="21">
      <c r="A364" s="15" t="str">
        <f ca="1">IFERROR(__xludf.DUMMYFUNCTION("""COMPUTED_VALUE"""),"GCSE")</f>
        <v>GCSE</v>
      </c>
      <c r="B364" s="17">
        <f ca="1">IFERROR(__xludf.DUMMYFUNCTION("""COMPUTED_VALUE"""),16)</f>
        <v>16</v>
      </c>
      <c r="C364" s="19" t="str">
        <f ca="1">IFERROR(__xludf.DUMMYFUNCTION("""COMPUTED_VALUE"""),"Object-oriented programming")</f>
        <v>Object-oriented programming</v>
      </c>
      <c r="D364" s="17">
        <f ca="1">IFERROR(__xludf.DUMMYFUNCTION("""COMPUTED_VALUE"""),4)</f>
        <v>4</v>
      </c>
      <c r="E364" s="20" t="str">
        <f ca="1">IFERROR(__xludf.DUMMYFUNCTION("""COMPUTED_VALUE"""),"Select appropriate uses of inheritance")</f>
        <v>Select appropriate uses of inheritance</v>
      </c>
      <c r="F364" s="26" t="b">
        <f ca="1">IFERROR(__xludf.DUMMYFUNCTION("""COMPUTED_VALUE"""),TRUE)</f>
        <v>1</v>
      </c>
      <c r="G364" s="26" t="b">
        <f ca="1">IFERROR(__xludf.DUMMYFUNCTION("""COMPUTED_VALUE"""),TRUE)</f>
        <v>1</v>
      </c>
      <c r="H364" s="27"/>
      <c r="I364" s="26"/>
      <c r="J364" s="26"/>
      <c r="K364" s="26"/>
      <c r="L364" s="26"/>
      <c r="M364" s="26"/>
      <c r="N364" s="26"/>
      <c r="O364" s="26"/>
      <c r="P364" s="26"/>
      <c r="Q364" s="26" t="b">
        <f ca="1">IFERROR(__xludf.DUMMYFUNCTION("""COMPUTED_VALUE"""),TRUE)</f>
        <v>1</v>
      </c>
      <c r="R364" s="27"/>
      <c r="S364" s="28"/>
      <c r="T364" s="28"/>
      <c r="U364" s="28"/>
      <c r="V364" s="29"/>
      <c r="W364" s="28"/>
    </row>
    <row r="365" spans="1:23" ht="21">
      <c r="A365" s="15" t="str">
        <f ca="1">IFERROR(__xludf.DUMMYFUNCTION("""COMPUTED_VALUE"""),"GCSE")</f>
        <v>GCSE</v>
      </c>
      <c r="B365" s="17">
        <f ca="1">IFERROR(__xludf.DUMMYFUNCTION("""COMPUTED_VALUE"""),16)</f>
        <v>16</v>
      </c>
      <c r="C365" s="19" t="str">
        <f ca="1">IFERROR(__xludf.DUMMYFUNCTION("""COMPUTED_VALUE"""),"Object-oriented programming")</f>
        <v>Object-oriented programming</v>
      </c>
      <c r="D365" s="17">
        <f ca="1">IFERROR(__xludf.DUMMYFUNCTION("""COMPUTED_VALUE"""),5)</f>
        <v>5</v>
      </c>
      <c r="E365" s="20" t="str">
        <f ca="1">IFERROR(__xludf.DUMMYFUNCTION("""COMPUTED_VALUE"""),"Explain the key concepts of OOP")</f>
        <v>Explain the key concepts of OOP</v>
      </c>
      <c r="F365" s="26" t="b">
        <f ca="1">IFERROR(__xludf.DUMMYFUNCTION("""COMPUTED_VALUE"""),TRUE)</f>
        <v>1</v>
      </c>
      <c r="G365" s="26" t="b">
        <f ca="1">IFERROR(__xludf.DUMMYFUNCTION("""COMPUTED_VALUE"""),TRUE)</f>
        <v>1</v>
      </c>
      <c r="H365" s="27"/>
      <c r="I365" s="26"/>
      <c r="J365" s="26"/>
      <c r="K365" s="26"/>
      <c r="L365" s="26"/>
      <c r="M365" s="26"/>
      <c r="N365" s="26"/>
      <c r="O365" s="26"/>
      <c r="P365" s="26"/>
      <c r="Q365" s="26" t="b">
        <f ca="1">IFERROR(__xludf.DUMMYFUNCTION("""COMPUTED_VALUE"""),TRUE)</f>
        <v>1</v>
      </c>
      <c r="R365" s="27"/>
      <c r="S365" s="28"/>
      <c r="T365" s="28"/>
      <c r="U365" s="28"/>
      <c r="V365" s="29"/>
      <c r="W365" s="28"/>
    </row>
    <row r="366" spans="1:23" ht="21">
      <c r="A366" s="15" t="str">
        <f ca="1">IFERROR(__xludf.DUMMYFUNCTION("""COMPUTED_VALUE"""),"GCSE")</f>
        <v>GCSE</v>
      </c>
      <c r="B366" s="17">
        <f ca="1">IFERROR(__xludf.DUMMYFUNCTION("""COMPUTED_VALUE"""),16)</f>
        <v>16</v>
      </c>
      <c r="C366" s="19" t="str">
        <f ca="1">IFERROR(__xludf.DUMMYFUNCTION("""COMPUTED_VALUE"""),"Object-oriented programming")</f>
        <v>Object-oriented programming</v>
      </c>
      <c r="D366" s="17">
        <f ca="1">IFERROR(__xludf.DUMMYFUNCTION("""COMPUTED_VALUE"""),5)</f>
        <v>5</v>
      </c>
      <c r="E366" s="20" t="str">
        <f ca="1">IFERROR(__xludf.DUMMYFUNCTION("""COMPUTED_VALUE"""),"Explore a program written using OOP")</f>
        <v>Explore a program written using OOP</v>
      </c>
      <c r="F366" s="26" t="b">
        <f ca="1">IFERROR(__xludf.DUMMYFUNCTION("""COMPUTED_VALUE"""),TRUE)</f>
        <v>1</v>
      </c>
      <c r="G366" s="26" t="b">
        <f ca="1">IFERROR(__xludf.DUMMYFUNCTION("""COMPUTED_VALUE"""),TRUE)</f>
        <v>1</v>
      </c>
      <c r="H366" s="27"/>
      <c r="I366" s="26"/>
      <c r="J366" s="26"/>
      <c r="K366" s="26"/>
      <c r="L366" s="26"/>
      <c r="M366" s="26"/>
      <c r="N366" s="26"/>
      <c r="O366" s="26"/>
      <c r="P366" s="26"/>
      <c r="Q366" s="26" t="b">
        <f ca="1">IFERROR(__xludf.DUMMYFUNCTION("""COMPUTED_VALUE"""),TRUE)</f>
        <v>1</v>
      </c>
      <c r="R366" s="27"/>
      <c r="S366" s="28"/>
      <c r="T366" s="28"/>
      <c r="U366" s="28"/>
      <c r="V366" s="29"/>
      <c r="W366" s="28"/>
    </row>
  </sheetData>
  <autoFilter ref="A1:W366" xr:uid="{00000000-0009-0000-0000-000008000000}"/>
  <mergeCells count="3">
    <mergeCell ref="F1:H1"/>
    <mergeCell ref="I1:R1"/>
    <mergeCell ref="S1:V1"/>
  </mergeCells>
  <conditionalFormatting sqref="F3:H366">
    <cfRule type="cellIs" dxfId="8" priority="4" operator="equal">
      <formula>TRUE</formula>
    </cfRule>
  </conditionalFormatting>
  <conditionalFormatting sqref="I3:R366">
    <cfRule type="cellIs" dxfId="7" priority="5" operator="equal">
      <formula>TRUE</formula>
    </cfRule>
  </conditionalFormatting>
  <conditionalFormatting sqref="A328:W347">
    <cfRule type="notContainsBlanks" dxfId="6" priority="8">
      <formula>LEN(TRIM(A328))&gt;0</formula>
    </cfRule>
  </conditionalFormatting>
  <conditionalFormatting sqref="A3:W366">
    <cfRule type="expression" dxfId="5" priority="9">
      <formula>#REF!=1</formula>
    </cfRule>
  </conditionalFormatting>
  <conditionalFormatting sqref="A3:W366">
    <cfRule type="expression" dxfId="4" priority="10">
      <formula>#REF!=0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W383"/>
  <sheetViews>
    <sheetView topLeftCell="B1" workbookViewId="0">
      <pane ySplit="2" topLeftCell="A375" activePane="bottomLeft" state="frozen"/>
      <selection pane="bottomLeft" activeCell="H2" sqref="H2"/>
    </sheetView>
  </sheetViews>
  <sheetFormatPr baseColWidth="10" defaultColWidth="12.6640625" defaultRowHeight="15.75" customHeight="1"/>
  <cols>
    <col min="1" max="1" width="8.1640625" hidden="1" customWidth="1"/>
    <col min="2" max="2" width="8.1640625" customWidth="1"/>
    <col min="3" max="3" width="11" customWidth="1"/>
    <col min="4" max="4" width="29.6640625" customWidth="1"/>
    <col min="5" max="5" width="25.33203125" customWidth="1"/>
    <col min="6" max="6" width="37.6640625" customWidth="1"/>
    <col min="7" max="7" width="37.83203125" style="55" customWidth="1"/>
    <col min="8" max="22" width="6.33203125" customWidth="1"/>
    <col min="23" max="23" width="6.33203125" style="55" customWidth="1"/>
  </cols>
  <sheetData>
    <row r="1" spans="1:23" ht="13">
      <c r="B1" s="16"/>
      <c r="C1" s="16"/>
      <c r="D1" s="42"/>
      <c r="E1" s="16"/>
      <c r="F1" s="82"/>
      <c r="G1" s="81"/>
      <c r="H1" s="83" t="s">
        <v>2400</v>
      </c>
      <c r="I1" s="75"/>
      <c r="J1" s="75"/>
      <c r="K1" s="75"/>
      <c r="L1" s="75"/>
      <c r="M1" s="75"/>
      <c r="N1" s="75"/>
      <c r="O1" s="75"/>
      <c r="P1" s="75"/>
      <c r="Q1" s="75"/>
      <c r="R1" s="75"/>
      <c r="S1" s="75"/>
      <c r="T1" s="75"/>
      <c r="U1" s="75"/>
      <c r="V1" s="75"/>
      <c r="W1" s="75"/>
    </row>
    <row r="2" spans="1:23" ht="111.75" customHeight="1">
      <c r="A2" s="18"/>
      <c r="B2" s="43" t="s">
        <v>102</v>
      </c>
      <c r="C2" s="43" t="s">
        <v>103</v>
      </c>
      <c r="D2" s="44" t="s">
        <v>104</v>
      </c>
      <c r="E2" s="43" t="s">
        <v>105</v>
      </c>
      <c r="F2" s="45" t="s">
        <v>106</v>
      </c>
      <c r="G2" s="58" t="s">
        <v>107</v>
      </c>
      <c r="H2" s="46" t="s">
        <v>108</v>
      </c>
      <c r="I2" s="46" t="s">
        <v>109</v>
      </c>
      <c r="J2" s="46" t="s">
        <v>110</v>
      </c>
      <c r="K2" s="46" t="s">
        <v>111</v>
      </c>
      <c r="L2" s="46" t="s">
        <v>112</v>
      </c>
      <c r="M2" s="46" t="s">
        <v>113</v>
      </c>
      <c r="N2" s="46" t="s">
        <v>114</v>
      </c>
      <c r="O2" s="46" t="s">
        <v>115</v>
      </c>
      <c r="P2" s="46" t="s">
        <v>116</v>
      </c>
      <c r="Q2" s="46" t="s">
        <v>117</v>
      </c>
      <c r="R2" s="46" t="s">
        <v>118</v>
      </c>
      <c r="S2" s="46" t="s">
        <v>119</v>
      </c>
      <c r="T2" s="46" t="s">
        <v>120</v>
      </c>
      <c r="U2" s="46" t="s">
        <v>121</v>
      </c>
      <c r="V2" s="46" t="s">
        <v>122</v>
      </c>
      <c r="W2" s="56" t="s">
        <v>123</v>
      </c>
    </row>
    <row r="3" spans="1:23" ht="15" customHeight="1">
      <c r="A3" s="47" t="s">
        <v>124</v>
      </c>
      <c r="B3" s="48" t="s">
        <v>62</v>
      </c>
      <c r="C3" s="49" t="s">
        <v>125</v>
      </c>
      <c r="D3" s="50" t="s">
        <v>126</v>
      </c>
      <c r="E3" s="49" t="s">
        <v>127</v>
      </c>
      <c r="F3" s="51" t="s">
        <v>128</v>
      </c>
      <c r="G3" s="59" t="s">
        <v>108</v>
      </c>
      <c r="H3" s="53" t="b">
        <f ca="1">IFERROR(__xludf.DUMMYFUNCTION("if($G3="""",false, if(isna(match(H$2, split($G3:$G383,"", "",False),0)),false,true))"),TRUE)</f>
        <v>1</v>
      </c>
      <c r="I3" s="53" t="b">
        <f ca="1">IFERROR(__xludf.DUMMYFUNCTION("if($G3="""",false, if(isna(match(I$2, split($G3:$G383,"", "",False),0)),false,true))"),FALSE)</f>
        <v>0</v>
      </c>
      <c r="J3" s="53" t="b">
        <f ca="1">IFERROR(__xludf.DUMMYFUNCTION("if($G3="""",false, if(isna(match(J$2, split($G3:$G383,"", "",False),0)),false,true))"),FALSE)</f>
        <v>0</v>
      </c>
      <c r="K3" s="53" t="b">
        <f ca="1">IFERROR(__xludf.DUMMYFUNCTION("if($G3="""",false, if(isna(match(K$2, split($G3:$G383,"", "",False),0)),false,true))"),FALSE)</f>
        <v>0</v>
      </c>
      <c r="L3" s="53" t="b">
        <f ca="1">IFERROR(__xludf.DUMMYFUNCTION("if($G3="""",false, if(isna(match(L$2, split($G3:$G383,"", "",False),0)),false,true))"),FALSE)</f>
        <v>0</v>
      </c>
      <c r="M3" s="53" t="b">
        <f ca="1">IFERROR(__xludf.DUMMYFUNCTION("if($G3="""",false, if(isna(match(M$2, split($G3:$G383,"", "",False),0)),false,true))"),FALSE)</f>
        <v>0</v>
      </c>
      <c r="N3" s="53" t="b">
        <f ca="1">IFERROR(__xludf.DUMMYFUNCTION("if($G3="""",false, if(isna(match(N$2, split($G3:$G383,"", "",False),0)),false,true))"),FALSE)</f>
        <v>0</v>
      </c>
      <c r="O3" s="53" t="b">
        <f ca="1">IFERROR(__xludf.DUMMYFUNCTION("if($G3="""",false, if(isna(match(O$2, split($G3:$G383,"", "",False),0)),false,true))"),FALSE)</f>
        <v>0</v>
      </c>
      <c r="P3" s="53" t="b">
        <f ca="1">IFERROR(__xludf.DUMMYFUNCTION("if($G3="""",false, if(isna(match(P$2, split($G3:$G383,"", "",False),0)),false,true))"),FALSE)</f>
        <v>0</v>
      </c>
      <c r="Q3" s="53" t="b">
        <f ca="1">IFERROR(__xludf.DUMMYFUNCTION("if($G3="""",false, if(isna(match(Q$2, split($G3:$G383,"", "",False),0)),false,true))"),FALSE)</f>
        <v>0</v>
      </c>
      <c r="R3" s="53" t="b">
        <f ca="1">IFERROR(__xludf.DUMMYFUNCTION("if($G3="""",false, if(isna(match(R$2, split($G3:$G383,"", "",False),0)),false,true))"),FALSE)</f>
        <v>0</v>
      </c>
      <c r="S3" s="53" t="b">
        <f ca="1">IFERROR(__xludf.DUMMYFUNCTION("if($G3="""",false, if(isna(match(S$2, split($G3:$G383,"", "",False),0)),false,true))"),FALSE)</f>
        <v>0</v>
      </c>
      <c r="T3" s="53" t="b">
        <f ca="1">IFERROR(__xludf.DUMMYFUNCTION("if($G3="""",false, if(isna(match(T$2, split($G3:$G383,"", "",False),0)),false,true))"),FALSE)</f>
        <v>0</v>
      </c>
      <c r="U3" s="53" t="b">
        <f ca="1">IFERROR(__xludf.DUMMYFUNCTION("if($G3="""",false, if(isna(match(U$2, split($G3:$G383,"", "",False),0)),false,true))"),FALSE)</f>
        <v>0</v>
      </c>
      <c r="V3" s="53" t="b">
        <f ca="1">IFERROR(__xludf.DUMMYFUNCTION("if($G3="""",false, if(isna(match(V$2, split($G3:$G383,"", "",False),0)),false,true))"),FALSE)</f>
        <v>0</v>
      </c>
      <c r="W3" s="57" t="b">
        <f ca="1">IFERROR(__xludf.DUMMYFUNCTION("if($G3="""",false, if(isna(match(W$2, split($G3:$G383,"", "",False),0)),false,true))"),FALSE)</f>
        <v>0</v>
      </c>
    </row>
    <row r="4" spans="1:23" ht="28">
      <c r="A4" s="47" t="s">
        <v>129</v>
      </c>
      <c r="B4" s="48" t="s">
        <v>62</v>
      </c>
      <c r="C4" s="49" t="s">
        <v>125</v>
      </c>
      <c r="D4" s="50" t="s">
        <v>126</v>
      </c>
      <c r="E4" s="49" t="s">
        <v>127</v>
      </c>
      <c r="F4" s="51" t="s">
        <v>130</v>
      </c>
      <c r="G4" s="59" t="s">
        <v>131</v>
      </c>
      <c r="H4" s="53" t="b">
        <f ca="1">IFERROR(__xludf.DUMMYFUNCTION("if($G4="""",false, if(isna(match(H$2, split($G4:$G383,"", "",False),0)),false,true))"),TRUE)</f>
        <v>1</v>
      </c>
      <c r="I4" s="53" t="b">
        <f ca="1">IFERROR(__xludf.DUMMYFUNCTION("if($G4="""",false, if(isna(match(I$2, split($G4:$G383,"", "",False),0)),false,true))"),FALSE)</f>
        <v>0</v>
      </c>
      <c r="J4" s="53" t="b">
        <f ca="1">IFERROR(__xludf.DUMMYFUNCTION("if($G4="""",false, if(isna(match(J$2, split($G4:$G383,"", "",False),0)),false,true))"),FALSE)</f>
        <v>0</v>
      </c>
      <c r="K4" s="53" t="b">
        <f ca="1">IFERROR(__xludf.DUMMYFUNCTION("if($G4="""",false, if(isna(match(K$2, split($G4:$G383,"", "",False),0)),false,true))"),FALSE)</f>
        <v>0</v>
      </c>
      <c r="L4" s="53" t="b">
        <f ca="1">IFERROR(__xludf.DUMMYFUNCTION("if($G4="""",false, if(isna(match(L$2, split($G4:$G383,"", "",False),0)),false,true))"),FALSE)</f>
        <v>0</v>
      </c>
      <c r="M4" s="53" t="b">
        <f ca="1">IFERROR(__xludf.DUMMYFUNCTION("if($G4="""",false, if(isna(match(M$2, split($G4:$G383,"", "",False),0)),false,true))"),FALSE)</f>
        <v>0</v>
      </c>
      <c r="N4" s="53" t="b">
        <f ca="1">IFERROR(__xludf.DUMMYFUNCTION("if($G4="""",false, if(isna(match(N$2, split($G4:$G383,"", "",False),0)),false,true))"),FALSE)</f>
        <v>0</v>
      </c>
      <c r="O4" s="53" t="b">
        <f ca="1">IFERROR(__xludf.DUMMYFUNCTION("if($G4="""",false, if(isna(match(O$2, split($G4:$G383,"", "",False),0)),false,true))"),FALSE)</f>
        <v>0</v>
      </c>
      <c r="P4" s="53" t="b">
        <f ca="1">IFERROR(__xludf.DUMMYFUNCTION("if($G4="""",false, if(isna(match(P$2, split($G4:$G383,"", "",False),0)),false,true))"),FALSE)</f>
        <v>0</v>
      </c>
      <c r="Q4" s="53" t="b">
        <f ca="1">IFERROR(__xludf.DUMMYFUNCTION("if($G4="""",false, if(isna(match(Q$2, split($G4:$G383,"", "",False),0)),false,true))"),FALSE)</f>
        <v>0</v>
      </c>
      <c r="R4" s="53" t="b">
        <f ca="1">IFERROR(__xludf.DUMMYFUNCTION("if($G4="""",false, if(isna(match(R$2, split($G4:$G383,"", "",False),0)),false,true))"),FALSE)</f>
        <v>0</v>
      </c>
      <c r="S4" s="53" t="b">
        <f ca="1">IFERROR(__xludf.DUMMYFUNCTION("if($G4="""",false, if(isna(match(S$2, split($G4:$G383,"", "",False),0)),false,true))"),TRUE)</f>
        <v>1</v>
      </c>
      <c r="T4" s="53" t="b">
        <f ca="1">IFERROR(__xludf.DUMMYFUNCTION("if($G4="""",false, if(isna(match(T$2, split($G4:$G383,"", "",False),0)),false,true))"),FALSE)</f>
        <v>0</v>
      </c>
      <c r="U4" s="53" t="b">
        <f ca="1">IFERROR(__xludf.DUMMYFUNCTION("if($G4="""",false, if(isna(match(U$2, split($G4:$G383,"", "",False),0)),false,true))"),FALSE)</f>
        <v>0</v>
      </c>
      <c r="V4" s="53" t="b">
        <f ca="1">IFERROR(__xludf.DUMMYFUNCTION("if($G4="""",false, if(isna(match(V$2, split($G4:$G383,"", "",False),0)),false,true))"),FALSE)</f>
        <v>0</v>
      </c>
      <c r="W4" s="57" t="b">
        <f ca="1">IFERROR(__xludf.DUMMYFUNCTION("if($G4="""",false, if(isna(match(W$2, split($G4:$G383,"", "",False),0)),false,true))"),FALSE)</f>
        <v>0</v>
      </c>
    </row>
    <row r="5" spans="1:23" ht="14">
      <c r="A5" s="47" t="s">
        <v>132</v>
      </c>
      <c r="B5" s="48" t="s">
        <v>62</v>
      </c>
      <c r="C5" s="49" t="s">
        <v>125</v>
      </c>
      <c r="D5" s="50" t="s">
        <v>126</v>
      </c>
      <c r="E5" s="49" t="s">
        <v>127</v>
      </c>
      <c r="F5" s="51" t="s">
        <v>133</v>
      </c>
      <c r="G5" s="59" t="s">
        <v>108</v>
      </c>
      <c r="H5" s="53" t="b">
        <f ca="1">IFERROR(__xludf.DUMMYFUNCTION("if($G5="""",false, if(isna(match(H$2, split($G5:$G383,"", "",False),0)),false,true))"),TRUE)</f>
        <v>1</v>
      </c>
      <c r="I5" s="53" t="b">
        <f ca="1">IFERROR(__xludf.DUMMYFUNCTION("if($G5="""",false, if(isna(match(I$2, split($G5:$G383,"", "",False),0)),false,true))"),FALSE)</f>
        <v>0</v>
      </c>
      <c r="J5" s="53" t="b">
        <f ca="1">IFERROR(__xludf.DUMMYFUNCTION("if($G5="""",false, if(isna(match(J$2, split($G5:$G383,"", "",False),0)),false,true))"),FALSE)</f>
        <v>0</v>
      </c>
      <c r="K5" s="53" t="b">
        <f ca="1">IFERROR(__xludf.DUMMYFUNCTION("if($G5="""",false, if(isna(match(K$2, split($G5:$G383,"", "",False),0)),false,true))"),FALSE)</f>
        <v>0</v>
      </c>
      <c r="L5" s="53" t="b">
        <f ca="1">IFERROR(__xludf.DUMMYFUNCTION("if($G5="""",false, if(isna(match(L$2, split($G5:$G383,"", "",False),0)),false,true))"),FALSE)</f>
        <v>0</v>
      </c>
      <c r="M5" s="53" t="b">
        <f ca="1">IFERROR(__xludf.DUMMYFUNCTION("if($G5="""",false, if(isna(match(M$2, split($G5:$G383,"", "",False),0)),false,true))"),FALSE)</f>
        <v>0</v>
      </c>
      <c r="N5" s="53" t="b">
        <f ca="1">IFERROR(__xludf.DUMMYFUNCTION("if($G5="""",false, if(isna(match(N$2, split($G5:$G383,"", "",False),0)),false,true))"),FALSE)</f>
        <v>0</v>
      </c>
      <c r="O5" s="53" t="b">
        <f ca="1">IFERROR(__xludf.DUMMYFUNCTION("if($G5="""",false, if(isna(match(O$2, split($G5:$G383,"", "",False),0)),false,true))"),FALSE)</f>
        <v>0</v>
      </c>
      <c r="P5" s="53" t="b">
        <f ca="1">IFERROR(__xludf.DUMMYFUNCTION("if($G5="""",false, if(isna(match(P$2, split($G5:$G383,"", "",False),0)),false,true))"),FALSE)</f>
        <v>0</v>
      </c>
      <c r="Q5" s="53" t="b">
        <f ca="1">IFERROR(__xludf.DUMMYFUNCTION("if($G5="""",false, if(isna(match(Q$2, split($G5:$G383,"", "",False),0)),false,true))"),FALSE)</f>
        <v>0</v>
      </c>
      <c r="R5" s="53" t="b">
        <f ca="1">IFERROR(__xludf.DUMMYFUNCTION("if($G5="""",false, if(isna(match(R$2, split($G5:$G383,"", "",False),0)),false,true))"),FALSE)</f>
        <v>0</v>
      </c>
      <c r="S5" s="53" t="b">
        <f ca="1">IFERROR(__xludf.DUMMYFUNCTION("if($G5="""",false, if(isna(match(S$2, split($G5:$G383,"", "",False),0)),false,true))"),FALSE)</f>
        <v>0</v>
      </c>
      <c r="T5" s="53" t="b">
        <f ca="1">IFERROR(__xludf.DUMMYFUNCTION("if($G5="""",false, if(isna(match(T$2, split($G5:$G383,"", "",False),0)),false,true))"),FALSE)</f>
        <v>0</v>
      </c>
      <c r="U5" s="53" t="b">
        <f ca="1">IFERROR(__xludf.DUMMYFUNCTION("if($G5="""",false, if(isna(match(U$2, split($G5:$G383,"", "",False),0)),false,true))"),FALSE)</f>
        <v>0</v>
      </c>
      <c r="V5" s="53" t="b">
        <f ca="1">IFERROR(__xludf.DUMMYFUNCTION("if($G5="""",false, if(isna(match(V$2, split($G5:$G383,"", "",False),0)),false,true))"),FALSE)</f>
        <v>0</v>
      </c>
      <c r="W5" s="57" t="b">
        <f ca="1">IFERROR(__xludf.DUMMYFUNCTION("if($G5="""",false, if(isna(match(W$2, split($G5:$G383,"", "",False),0)),false,true))"),FALSE)</f>
        <v>0</v>
      </c>
    </row>
    <row r="6" spans="1:23" ht="42">
      <c r="A6" s="47" t="s">
        <v>134</v>
      </c>
      <c r="B6" s="48" t="s">
        <v>62</v>
      </c>
      <c r="C6" s="49" t="s">
        <v>125</v>
      </c>
      <c r="D6" s="50" t="s">
        <v>126</v>
      </c>
      <c r="E6" s="49" t="s">
        <v>127</v>
      </c>
      <c r="F6" s="51" t="s">
        <v>135</v>
      </c>
      <c r="G6" s="59" t="s">
        <v>136</v>
      </c>
      <c r="H6" s="53" t="b">
        <f ca="1">IFERROR(__xludf.DUMMYFUNCTION("if($G6="""",false, if(isna(match(H$2, split($G6:$G383,"", "",False),0)),false,true))"),TRUE)</f>
        <v>1</v>
      </c>
      <c r="I6" s="53" t="b">
        <f ca="1">IFERROR(__xludf.DUMMYFUNCTION("if($G6="""",false, if(isna(match(I$2, split($G6:$G383,"", "",False),0)),false,true))"),FALSE)</f>
        <v>0</v>
      </c>
      <c r="J6" s="53" t="b">
        <f ca="1">IFERROR(__xludf.DUMMYFUNCTION("if($G6="""",false, if(isna(match(J$2, split($G6:$G383,"", "",False),0)),false,true))"),FALSE)</f>
        <v>0</v>
      </c>
      <c r="K6" s="53" t="b">
        <f ca="1">IFERROR(__xludf.DUMMYFUNCTION("if($G6="""",false, if(isna(match(K$2, split($G6:$G383,"", "",False),0)),false,true))"),FALSE)</f>
        <v>0</v>
      </c>
      <c r="L6" s="53" t="b">
        <f ca="1">IFERROR(__xludf.DUMMYFUNCTION("if($G6="""",false, if(isna(match(L$2, split($G6:$G383,"", "",False),0)),false,true))"),FALSE)</f>
        <v>0</v>
      </c>
      <c r="M6" s="53" t="b">
        <f ca="1">IFERROR(__xludf.DUMMYFUNCTION("if($G6="""",false, if(isna(match(M$2, split($G6:$G383,"", "",False),0)),false,true))"),FALSE)</f>
        <v>0</v>
      </c>
      <c r="N6" s="53" t="b">
        <f ca="1">IFERROR(__xludf.DUMMYFUNCTION("if($G6="""",false, if(isna(match(N$2, split($G6:$G383,"", "",False),0)),false,true))"),FALSE)</f>
        <v>0</v>
      </c>
      <c r="O6" s="53" t="b">
        <f ca="1">IFERROR(__xludf.DUMMYFUNCTION("if($G6="""",false, if(isna(match(O$2, split($G6:$G383,"", "",False),0)),false,true))"),FALSE)</f>
        <v>0</v>
      </c>
      <c r="P6" s="53" t="b">
        <f ca="1">IFERROR(__xludf.DUMMYFUNCTION("if($G6="""",false, if(isna(match(P$2, split($G6:$G383,"", "",False),0)),false,true))"),TRUE)</f>
        <v>1</v>
      </c>
      <c r="Q6" s="53" t="b">
        <f ca="1">IFERROR(__xludf.DUMMYFUNCTION("if($G6="""",false, if(isna(match(Q$2, split($G6:$G383,"", "",False),0)),false,true))"),TRUE)</f>
        <v>1</v>
      </c>
      <c r="R6" s="53" t="b">
        <f ca="1">IFERROR(__xludf.DUMMYFUNCTION("if($G6="""",false, if(isna(match(R$2, split($G6:$G383,"", "",False),0)),false,true))"),TRUE)</f>
        <v>1</v>
      </c>
      <c r="S6" s="53" t="b">
        <f ca="1">IFERROR(__xludf.DUMMYFUNCTION("if($G6="""",false, if(isna(match(S$2, split($G6:$G383,"", "",False),0)),false,true))"),TRUE)</f>
        <v>1</v>
      </c>
      <c r="T6" s="53" t="b">
        <f ca="1">IFERROR(__xludf.DUMMYFUNCTION("if($G6="""",false, if(isna(match(T$2, split($G6:$G383,"", "",False),0)),false,true))"),FALSE)</f>
        <v>0</v>
      </c>
      <c r="U6" s="53" t="b">
        <f ca="1">IFERROR(__xludf.DUMMYFUNCTION("if($G6="""",false, if(isna(match(U$2, split($G6:$G383,"", "",False),0)),false,true))"),FALSE)</f>
        <v>0</v>
      </c>
      <c r="V6" s="53" t="b">
        <f ca="1">IFERROR(__xludf.DUMMYFUNCTION("if($G6="""",false, if(isna(match(V$2, split($G6:$G383,"", "",False),0)),false,true))"),FALSE)</f>
        <v>0</v>
      </c>
      <c r="W6" s="57" t="b">
        <f ca="1">IFERROR(__xludf.DUMMYFUNCTION("if($G6="""",false, if(isna(match(W$2, split($G6:$G383,"", "",False),0)),false,true))"),FALSE)</f>
        <v>0</v>
      </c>
    </row>
    <row r="7" spans="1:23" ht="28">
      <c r="A7" s="47" t="s">
        <v>137</v>
      </c>
      <c r="B7" s="48" t="s">
        <v>62</v>
      </c>
      <c r="C7" s="49" t="s">
        <v>125</v>
      </c>
      <c r="D7" s="50" t="s">
        <v>126</v>
      </c>
      <c r="E7" s="49" t="s">
        <v>127</v>
      </c>
      <c r="F7" s="51" t="s">
        <v>138</v>
      </c>
      <c r="G7" s="59" t="s">
        <v>111</v>
      </c>
      <c r="H7" s="53" t="b">
        <f ca="1">IFERROR(__xludf.DUMMYFUNCTION("if($G7="""",false, if(isna(match(H$2, split($G7:$G383,"", "",False),0)),false,true))"),FALSE)</f>
        <v>0</v>
      </c>
      <c r="I7" s="53" t="b">
        <f ca="1">IFERROR(__xludf.DUMMYFUNCTION("if($G7="""",false, if(isna(match(I$2, split($G7:$G383,"", "",False),0)),false,true))"),FALSE)</f>
        <v>0</v>
      </c>
      <c r="J7" s="53" t="b">
        <f ca="1">IFERROR(__xludf.DUMMYFUNCTION("if($G7="""",false, if(isna(match(J$2, split($G7:$G383,"", "",False),0)),false,true))"),FALSE)</f>
        <v>0</v>
      </c>
      <c r="K7" s="53" t="b">
        <f ca="1">IFERROR(__xludf.DUMMYFUNCTION("if($G7="""",false, if(isna(match(K$2, split($G7:$G383,"", "",False),0)),false,true))"),TRUE)</f>
        <v>1</v>
      </c>
      <c r="L7" s="53" t="b">
        <f ca="1">IFERROR(__xludf.DUMMYFUNCTION("if($G7="""",false, if(isna(match(L$2, split($G7:$G383,"", "",False),0)),false,true))"),FALSE)</f>
        <v>0</v>
      </c>
      <c r="M7" s="53" t="b">
        <f ca="1">IFERROR(__xludf.DUMMYFUNCTION("if($G7="""",false, if(isna(match(M$2, split($G7:$G383,"", "",False),0)),false,true))"),FALSE)</f>
        <v>0</v>
      </c>
      <c r="N7" s="53" t="b">
        <f ca="1">IFERROR(__xludf.DUMMYFUNCTION("if($G7="""",false, if(isna(match(N$2, split($G7:$G383,"", "",False),0)),false,true))"),FALSE)</f>
        <v>0</v>
      </c>
      <c r="O7" s="53" t="b">
        <f ca="1">IFERROR(__xludf.DUMMYFUNCTION("if($G7="""",false, if(isna(match(O$2, split($G7:$G383,"", "",False),0)),false,true))"),FALSE)</f>
        <v>0</v>
      </c>
      <c r="P7" s="53" t="b">
        <f ca="1">IFERROR(__xludf.DUMMYFUNCTION("if($G7="""",false, if(isna(match(P$2, split($G7:$G383,"", "",False),0)),false,true))"),FALSE)</f>
        <v>0</v>
      </c>
      <c r="Q7" s="53" t="b">
        <f ca="1">IFERROR(__xludf.DUMMYFUNCTION("if($G7="""",false, if(isna(match(Q$2, split($G7:$G383,"", "",False),0)),false,true))"),FALSE)</f>
        <v>0</v>
      </c>
      <c r="R7" s="53" t="b">
        <f ca="1">IFERROR(__xludf.DUMMYFUNCTION("if($G7="""",false, if(isna(match(R$2, split($G7:$G383,"", "",False),0)),false,true))"),FALSE)</f>
        <v>0</v>
      </c>
      <c r="S7" s="53" t="b">
        <f ca="1">IFERROR(__xludf.DUMMYFUNCTION("if($G7="""",false, if(isna(match(S$2, split($G7:$G383,"", "",False),0)),false,true))"),FALSE)</f>
        <v>0</v>
      </c>
      <c r="T7" s="53" t="b">
        <f ca="1">IFERROR(__xludf.DUMMYFUNCTION("if($G7="""",false, if(isna(match(T$2, split($G7:$G383,"", "",False),0)),false,true))"),FALSE)</f>
        <v>0</v>
      </c>
      <c r="U7" s="53" t="b">
        <f ca="1">IFERROR(__xludf.DUMMYFUNCTION("if($G7="""",false, if(isna(match(U$2, split($G7:$G383,"", "",False),0)),false,true))"),FALSE)</f>
        <v>0</v>
      </c>
      <c r="V7" s="53" t="b">
        <f ca="1">IFERROR(__xludf.DUMMYFUNCTION("if($G7="""",false, if(isna(match(V$2, split($G7:$G383,"", "",False),0)),false,true))"),FALSE)</f>
        <v>0</v>
      </c>
      <c r="W7" s="57" t="b">
        <f ca="1">IFERROR(__xludf.DUMMYFUNCTION("if($G7="""",false, if(isna(match(W$2, split($G7:$G383,"", "",False),0)),false,true))"),FALSE)</f>
        <v>0</v>
      </c>
    </row>
    <row r="8" spans="1:23" ht="14">
      <c r="A8" s="47" t="s">
        <v>139</v>
      </c>
      <c r="B8" s="48" t="s">
        <v>62</v>
      </c>
      <c r="C8" s="49" t="s">
        <v>125</v>
      </c>
      <c r="D8" s="50" t="s">
        <v>126</v>
      </c>
      <c r="E8" s="49" t="s">
        <v>127</v>
      </c>
      <c r="F8" s="51" t="s">
        <v>140</v>
      </c>
      <c r="G8" s="59" t="s">
        <v>108</v>
      </c>
      <c r="H8" s="53" t="b">
        <f ca="1">IFERROR(__xludf.DUMMYFUNCTION("if($G8="""",false, if(isna(match(H$2, split($G8:$G383,"", "",False),0)),false,true))"),TRUE)</f>
        <v>1</v>
      </c>
      <c r="I8" s="53" t="b">
        <f ca="1">IFERROR(__xludf.DUMMYFUNCTION("if($G8="""",false, if(isna(match(I$2, split($G8:$G383,"", "",False),0)),false,true))"),FALSE)</f>
        <v>0</v>
      </c>
      <c r="J8" s="53" t="b">
        <f ca="1">IFERROR(__xludf.DUMMYFUNCTION("if($G8="""",false, if(isna(match(J$2, split($G8:$G383,"", "",False),0)),false,true))"),FALSE)</f>
        <v>0</v>
      </c>
      <c r="K8" s="53" t="b">
        <f ca="1">IFERROR(__xludf.DUMMYFUNCTION("if($G8="""",false, if(isna(match(K$2, split($G8:$G383,"", "",False),0)),false,true))"),FALSE)</f>
        <v>0</v>
      </c>
      <c r="L8" s="53" t="b">
        <f ca="1">IFERROR(__xludf.DUMMYFUNCTION("if($G8="""",false, if(isna(match(L$2, split($G8:$G383,"", "",False),0)),false,true))"),FALSE)</f>
        <v>0</v>
      </c>
      <c r="M8" s="53" t="b">
        <f ca="1">IFERROR(__xludf.DUMMYFUNCTION("if($G8="""",false, if(isna(match(M$2, split($G8:$G383,"", "",False),0)),false,true))"),FALSE)</f>
        <v>0</v>
      </c>
      <c r="N8" s="53" t="b">
        <f ca="1">IFERROR(__xludf.DUMMYFUNCTION("if($G8="""",false, if(isna(match(N$2, split($G8:$G383,"", "",False),0)),false,true))"),FALSE)</f>
        <v>0</v>
      </c>
      <c r="O8" s="53" t="b">
        <f ca="1">IFERROR(__xludf.DUMMYFUNCTION("if($G8="""",false, if(isna(match(O$2, split($G8:$G383,"", "",False),0)),false,true))"),FALSE)</f>
        <v>0</v>
      </c>
      <c r="P8" s="53" t="b">
        <f ca="1">IFERROR(__xludf.DUMMYFUNCTION("if($G8="""",false, if(isna(match(P$2, split($G8:$G383,"", "",False),0)),false,true))"),FALSE)</f>
        <v>0</v>
      </c>
      <c r="Q8" s="53" t="b">
        <f ca="1">IFERROR(__xludf.DUMMYFUNCTION("if($G8="""",false, if(isna(match(Q$2, split($G8:$G383,"", "",False),0)),false,true))"),FALSE)</f>
        <v>0</v>
      </c>
      <c r="R8" s="53" t="b">
        <f ca="1">IFERROR(__xludf.DUMMYFUNCTION("if($G8="""",false, if(isna(match(R$2, split($G8:$G383,"", "",False),0)),false,true))"),FALSE)</f>
        <v>0</v>
      </c>
      <c r="S8" s="53" t="b">
        <f ca="1">IFERROR(__xludf.DUMMYFUNCTION("if($G8="""",false, if(isna(match(S$2, split($G8:$G383,"", "",False),0)),false,true))"),FALSE)</f>
        <v>0</v>
      </c>
      <c r="T8" s="53" t="b">
        <f ca="1">IFERROR(__xludf.DUMMYFUNCTION("if($G8="""",false, if(isna(match(T$2, split($G8:$G383,"", "",False),0)),false,true))"),FALSE)</f>
        <v>0</v>
      </c>
      <c r="U8" s="53" t="b">
        <f ca="1">IFERROR(__xludf.DUMMYFUNCTION("if($G8="""",false, if(isna(match(U$2, split($G8:$G383,"", "",False),0)),false,true))"),FALSE)</f>
        <v>0</v>
      </c>
      <c r="V8" s="53" t="b">
        <f ca="1">IFERROR(__xludf.DUMMYFUNCTION("if($G8="""",false, if(isna(match(V$2, split($G8:$G383,"", "",False),0)),false,true))"),FALSE)</f>
        <v>0</v>
      </c>
      <c r="W8" s="57" t="b">
        <f ca="1">IFERROR(__xludf.DUMMYFUNCTION("if($G8="""",false, if(isna(match(W$2, split($G8:$G383,"", "",False),0)),false,true))"),FALSE)</f>
        <v>0</v>
      </c>
    </row>
    <row r="9" spans="1:23" ht="28">
      <c r="A9" s="47" t="s">
        <v>141</v>
      </c>
      <c r="B9" s="48" t="s">
        <v>62</v>
      </c>
      <c r="C9" s="49" t="s">
        <v>125</v>
      </c>
      <c r="D9" s="50" t="s">
        <v>126</v>
      </c>
      <c r="E9" s="49" t="s">
        <v>142</v>
      </c>
      <c r="F9" s="51" t="s">
        <v>143</v>
      </c>
      <c r="G9" s="59" t="s">
        <v>144</v>
      </c>
      <c r="H9" s="53" t="b">
        <f ca="1">IFERROR(__xludf.DUMMYFUNCTION("if($G9="""",false, if(isna(match(H$2, split($G9:$G383,"", "",False),0)),false,true))"),FALSE)</f>
        <v>0</v>
      </c>
      <c r="I9" s="53" t="b">
        <f ca="1">IFERROR(__xludf.DUMMYFUNCTION("if($G9="""",false, if(isna(match(I$2, split($G9:$G383,"", "",False),0)),false,true))"),FALSE)</f>
        <v>0</v>
      </c>
      <c r="J9" s="53" t="b">
        <f ca="1">IFERROR(__xludf.DUMMYFUNCTION("if($G9="""",false, if(isna(match(J$2, split($G9:$G383,"", "",False),0)),false,true))"),FALSE)</f>
        <v>0</v>
      </c>
      <c r="K9" s="53" t="b">
        <f ca="1">IFERROR(__xludf.DUMMYFUNCTION("if($G9="""",false, if(isna(match(K$2, split($G9:$G383,"", "",False),0)),false,true))"),TRUE)</f>
        <v>1</v>
      </c>
      <c r="L9" s="53" t="b">
        <f ca="1">IFERROR(__xludf.DUMMYFUNCTION("if($G9="""",false, if(isna(match(L$2, split($G9:$G383,"", "",False),0)),false,true))"),FALSE)</f>
        <v>0</v>
      </c>
      <c r="M9" s="53" t="b">
        <f ca="1">IFERROR(__xludf.DUMMYFUNCTION("if($G9="""",false, if(isna(match(M$2, split($G9:$G383,"", "",False),0)),false,true))"),FALSE)</f>
        <v>0</v>
      </c>
      <c r="N9" s="53" t="b">
        <f ca="1">IFERROR(__xludf.DUMMYFUNCTION("if($G9="""",false, if(isna(match(N$2, split($G9:$G383,"", "",False),0)),false,true))"),FALSE)</f>
        <v>0</v>
      </c>
      <c r="O9" s="53" t="b">
        <f ca="1">IFERROR(__xludf.DUMMYFUNCTION("if($G9="""",false, if(isna(match(O$2, split($G9:$G383,"", "",False),0)),false,true))"),FALSE)</f>
        <v>0</v>
      </c>
      <c r="P9" s="53" t="b">
        <f ca="1">IFERROR(__xludf.DUMMYFUNCTION("if($G9="""",false, if(isna(match(P$2, split($G9:$G383,"", "",False),0)),false,true))"),FALSE)</f>
        <v>0</v>
      </c>
      <c r="Q9" s="53" t="b">
        <f ca="1">IFERROR(__xludf.DUMMYFUNCTION("if($G9="""",false, if(isna(match(Q$2, split($G9:$G383,"", "",False),0)),false,true))"),FALSE)</f>
        <v>0</v>
      </c>
      <c r="R9" s="53" t="b">
        <f ca="1">IFERROR(__xludf.DUMMYFUNCTION("if($G9="""",false, if(isna(match(R$2, split($G9:$G383,"", "",False),0)),false,true))"),FALSE)</f>
        <v>0</v>
      </c>
      <c r="S9" s="53" t="b">
        <f ca="1">IFERROR(__xludf.DUMMYFUNCTION("if($G9="""",false, if(isna(match(S$2, split($G9:$G383,"", "",False),0)),false,true))"),FALSE)</f>
        <v>0</v>
      </c>
      <c r="T9" s="53" t="b">
        <f ca="1">IFERROR(__xludf.DUMMYFUNCTION("if($G9="""",false, if(isna(match(T$2, split($G9:$G383,"", "",False),0)),false,true))"),FALSE)</f>
        <v>0</v>
      </c>
      <c r="U9" s="53" t="b">
        <f ca="1">IFERROR(__xludf.DUMMYFUNCTION("if($G9="""",false, if(isna(match(U$2, split($G9:$G383,"", "",False),0)),false,true))"),FALSE)</f>
        <v>0</v>
      </c>
      <c r="V9" s="53" t="b">
        <f ca="1">IFERROR(__xludf.DUMMYFUNCTION("if($G9="""",false, if(isna(match(V$2, split($G9:$G383,"", "",False),0)),false,true))"),FALSE)</f>
        <v>0</v>
      </c>
      <c r="W9" s="57" t="b">
        <f ca="1">IFERROR(__xludf.DUMMYFUNCTION("if($G9="""",false, if(isna(match(W$2, split($G9:$G383,"", "",False),0)),false,true))"),FALSE)</f>
        <v>0</v>
      </c>
    </row>
    <row r="10" spans="1:23" ht="56">
      <c r="A10" s="47" t="s">
        <v>145</v>
      </c>
      <c r="B10" s="48" t="s">
        <v>62</v>
      </c>
      <c r="C10" s="49" t="s">
        <v>125</v>
      </c>
      <c r="D10" s="50" t="s">
        <v>126</v>
      </c>
      <c r="E10" s="49" t="s">
        <v>142</v>
      </c>
      <c r="F10" s="51" t="s">
        <v>146</v>
      </c>
      <c r="G10" s="59" t="s">
        <v>111</v>
      </c>
      <c r="H10" s="53" t="b">
        <f ca="1">IFERROR(__xludf.DUMMYFUNCTION("if($G10="""",false, if(isna(match(H$2, split($G10:$G383,"", "",False),0)),false,true))"),FALSE)</f>
        <v>0</v>
      </c>
      <c r="I10" s="53" t="b">
        <f ca="1">IFERROR(__xludf.DUMMYFUNCTION("if($G10="""",false, if(isna(match(I$2, split($G10:$G383,"", "",False),0)),false,true))"),FALSE)</f>
        <v>0</v>
      </c>
      <c r="J10" s="53" t="b">
        <f ca="1">IFERROR(__xludf.DUMMYFUNCTION("if($G10="""",false, if(isna(match(J$2, split($G10:$G383,"", "",False),0)),false,true))"),FALSE)</f>
        <v>0</v>
      </c>
      <c r="K10" s="53" t="b">
        <f ca="1">IFERROR(__xludf.DUMMYFUNCTION("if($G10="""",false, if(isna(match(K$2, split($G10:$G383,"", "",False),0)),false,true))"),TRUE)</f>
        <v>1</v>
      </c>
      <c r="L10" s="53" t="b">
        <f ca="1">IFERROR(__xludf.DUMMYFUNCTION("if($G10="""",false, if(isna(match(L$2, split($G10:$G383,"", "",False),0)),false,true))"),FALSE)</f>
        <v>0</v>
      </c>
      <c r="M10" s="53" t="b">
        <f ca="1">IFERROR(__xludf.DUMMYFUNCTION("if($G10="""",false, if(isna(match(M$2, split($G10:$G383,"", "",False),0)),false,true))"),FALSE)</f>
        <v>0</v>
      </c>
      <c r="N10" s="53" t="b">
        <f ca="1">IFERROR(__xludf.DUMMYFUNCTION("if($G10="""",false, if(isna(match(N$2, split($G10:$G383,"", "",False),0)),false,true))"),FALSE)</f>
        <v>0</v>
      </c>
      <c r="O10" s="53" t="b">
        <f ca="1">IFERROR(__xludf.DUMMYFUNCTION("if($G10="""",false, if(isna(match(O$2, split($G10:$G383,"", "",False),0)),false,true))"),FALSE)</f>
        <v>0</v>
      </c>
      <c r="P10" s="53" t="b">
        <f ca="1">IFERROR(__xludf.DUMMYFUNCTION("if($G10="""",false, if(isna(match(P$2, split($G10:$G383,"", "",False),0)),false,true))"),FALSE)</f>
        <v>0</v>
      </c>
      <c r="Q10" s="53" t="b">
        <f ca="1">IFERROR(__xludf.DUMMYFUNCTION("if($G10="""",false, if(isna(match(Q$2, split($G10:$G383,"", "",False),0)),false,true))"),FALSE)</f>
        <v>0</v>
      </c>
      <c r="R10" s="53" t="b">
        <f ca="1">IFERROR(__xludf.DUMMYFUNCTION("if($G10="""",false, if(isna(match(R$2, split($G10:$G383,"", "",False),0)),false,true))"),FALSE)</f>
        <v>0</v>
      </c>
      <c r="S10" s="53" t="b">
        <f ca="1">IFERROR(__xludf.DUMMYFUNCTION("if($G10="""",false, if(isna(match(S$2, split($G10:$G383,"", "",False),0)),false,true))"),FALSE)</f>
        <v>0</v>
      </c>
      <c r="T10" s="53" t="b">
        <f ca="1">IFERROR(__xludf.DUMMYFUNCTION("if($G10="""",false, if(isna(match(T$2, split($G10:$G383,"", "",False),0)),false,true))"),FALSE)</f>
        <v>0</v>
      </c>
      <c r="U10" s="53" t="b">
        <f ca="1">IFERROR(__xludf.DUMMYFUNCTION("if($G10="""",false, if(isna(match(U$2, split($G10:$G383,"", "",False),0)),false,true))"),FALSE)</f>
        <v>0</v>
      </c>
      <c r="V10" s="53" t="b">
        <f ca="1">IFERROR(__xludf.DUMMYFUNCTION("if($G10="""",false, if(isna(match(V$2, split($G10:$G383,"", "",False),0)),false,true))"),FALSE)</f>
        <v>0</v>
      </c>
      <c r="W10" s="57" t="b">
        <f ca="1">IFERROR(__xludf.DUMMYFUNCTION("if($G10="""",false, if(isna(match(W$2, split($G10:$G383,"", "",False),0)),false,true))"),FALSE)</f>
        <v>0</v>
      </c>
    </row>
    <row r="11" spans="1:23" ht="28">
      <c r="A11" s="47" t="s">
        <v>147</v>
      </c>
      <c r="B11" s="48" t="s">
        <v>62</v>
      </c>
      <c r="C11" s="49" t="s">
        <v>125</v>
      </c>
      <c r="D11" s="50" t="s">
        <v>126</v>
      </c>
      <c r="E11" s="49" t="s">
        <v>148</v>
      </c>
      <c r="F11" s="51" t="s">
        <v>149</v>
      </c>
      <c r="G11" s="59" t="s">
        <v>111</v>
      </c>
      <c r="H11" s="53" t="b">
        <f ca="1">IFERROR(__xludf.DUMMYFUNCTION("if($G11="""",false, if(isna(match(H$2, split($G11:$G383,"", "",False),0)),false,true))"),FALSE)</f>
        <v>0</v>
      </c>
      <c r="I11" s="53" t="b">
        <f ca="1">IFERROR(__xludf.DUMMYFUNCTION("if($G11="""",false, if(isna(match(I$2, split($G11:$G383,"", "",False),0)),false,true))"),FALSE)</f>
        <v>0</v>
      </c>
      <c r="J11" s="53" t="b">
        <f ca="1">IFERROR(__xludf.DUMMYFUNCTION("if($G11="""",false, if(isna(match(J$2, split($G11:$G383,"", "",False),0)),false,true))"),FALSE)</f>
        <v>0</v>
      </c>
      <c r="K11" s="53" t="b">
        <f ca="1">IFERROR(__xludf.DUMMYFUNCTION("if($G11="""",false, if(isna(match(K$2, split($G11:$G383,"", "",False),0)),false,true))"),TRUE)</f>
        <v>1</v>
      </c>
      <c r="L11" s="53" t="b">
        <f ca="1">IFERROR(__xludf.DUMMYFUNCTION("if($G11="""",false, if(isna(match(L$2, split($G11:$G383,"", "",False),0)),false,true))"),FALSE)</f>
        <v>0</v>
      </c>
      <c r="M11" s="53" t="b">
        <f ca="1">IFERROR(__xludf.DUMMYFUNCTION("if($G11="""",false, if(isna(match(M$2, split($G11:$G383,"", "",False),0)),false,true))"),FALSE)</f>
        <v>0</v>
      </c>
      <c r="N11" s="53" t="b">
        <f ca="1">IFERROR(__xludf.DUMMYFUNCTION("if($G11="""",false, if(isna(match(N$2, split($G11:$G383,"", "",False),0)),false,true))"),FALSE)</f>
        <v>0</v>
      </c>
      <c r="O11" s="53" t="b">
        <f ca="1">IFERROR(__xludf.DUMMYFUNCTION("if($G11="""",false, if(isna(match(O$2, split($G11:$G383,"", "",False),0)),false,true))"),FALSE)</f>
        <v>0</v>
      </c>
      <c r="P11" s="53" t="b">
        <f ca="1">IFERROR(__xludf.DUMMYFUNCTION("if($G11="""",false, if(isna(match(P$2, split($G11:$G383,"", "",False),0)),false,true))"),FALSE)</f>
        <v>0</v>
      </c>
      <c r="Q11" s="53" t="b">
        <f ca="1">IFERROR(__xludf.DUMMYFUNCTION("if($G11="""",false, if(isna(match(Q$2, split($G11:$G383,"", "",False),0)),false,true))"),FALSE)</f>
        <v>0</v>
      </c>
      <c r="R11" s="53" t="b">
        <f ca="1">IFERROR(__xludf.DUMMYFUNCTION("if($G11="""",false, if(isna(match(R$2, split($G11:$G383,"", "",False),0)),false,true))"),FALSE)</f>
        <v>0</v>
      </c>
      <c r="S11" s="53" t="b">
        <f ca="1">IFERROR(__xludf.DUMMYFUNCTION("if($G11="""",false, if(isna(match(S$2, split($G11:$G383,"", "",False),0)),false,true))"),FALSE)</f>
        <v>0</v>
      </c>
      <c r="T11" s="53" t="b">
        <f ca="1">IFERROR(__xludf.DUMMYFUNCTION("if($G11="""",false, if(isna(match(T$2, split($G11:$G383,"", "",False),0)),false,true))"),FALSE)</f>
        <v>0</v>
      </c>
      <c r="U11" s="53" t="b">
        <f ca="1">IFERROR(__xludf.DUMMYFUNCTION("if($G11="""",false, if(isna(match(U$2, split($G11:$G383,"", "",False),0)),false,true))"),FALSE)</f>
        <v>0</v>
      </c>
      <c r="V11" s="53" t="b">
        <f ca="1">IFERROR(__xludf.DUMMYFUNCTION("if($G11="""",false, if(isna(match(V$2, split($G11:$G383,"", "",False),0)),false,true))"),FALSE)</f>
        <v>0</v>
      </c>
      <c r="W11" s="57" t="b">
        <f ca="1">IFERROR(__xludf.DUMMYFUNCTION("if($G11="""",false, if(isna(match(W$2, split($G11:$G383,"", "",False),0)),false,true))"),FALSE)</f>
        <v>0</v>
      </c>
    </row>
    <row r="12" spans="1:23" ht="28">
      <c r="A12" s="47" t="s">
        <v>150</v>
      </c>
      <c r="B12" s="48" t="s">
        <v>62</v>
      </c>
      <c r="C12" s="49" t="s">
        <v>125</v>
      </c>
      <c r="D12" s="50" t="s">
        <v>126</v>
      </c>
      <c r="E12" s="49" t="s">
        <v>148</v>
      </c>
      <c r="F12" s="51" t="s">
        <v>151</v>
      </c>
      <c r="G12" s="59" t="s">
        <v>111</v>
      </c>
      <c r="H12" s="53" t="b">
        <f ca="1">IFERROR(__xludf.DUMMYFUNCTION("if($G12="""",false, if(isna(match(H$2, split($G12:$G383,"", "",False),0)),false,true))"),FALSE)</f>
        <v>0</v>
      </c>
      <c r="I12" s="53" t="b">
        <f ca="1">IFERROR(__xludf.DUMMYFUNCTION("if($G12="""",false, if(isna(match(I$2, split($G12:$G383,"", "",False),0)),false,true))"),FALSE)</f>
        <v>0</v>
      </c>
      <c r="J12" s="53" t="b">
        <f ca="1">IFERROR(__xludf.DUMMYFUNCTION("if($G12="""",false, if(isna(match(J$2, split($G12:$G383,"", "",False),0)),false,true))"),FALSE)</f>
        <v>0</v>
      </c>
      <c r="K12" s="53" t="b">
        <f ca="1">IFERROR(__xludf.DUMMYFUNCTION("if($G12="""",false, if(isna(match(K$2, split($G12:$G383,"", "",False),0)),false,true))"),TRUE)</f>
        <v>1</v>
      </c>
      <c r="L12" s="53" t="b">
        <f ca="1">IFERROR(__xludf.DUMMYFUNCTION("if($G12="""",false, if(isna(match(L$2, split($G12:$G383,"", "",False),0)),false,true))"),FALSE)</f>
        <v>0</v>
      </c>
      <c r="M12" s="53" t="b">
        <f ca="1">IFERROR(__xludf.DUMMYFUNCTION("if($G12="""",false, if(isna(match(M$2, split($G12:$G383,"", "",False),0)),false,true))"),FALSE)</f>
        <v>0</v>
      </c>
      <c r="N12" s="53" t="b">
        <f ca="1">IFERROR(__xludf.DUMMYFUNCTION("if($G12="""",false, if(isna(match(N$2, split($G12:$G383,"", "",False),0)),false,true))"),FALSE)</f>
        <v>0</v>
      </c>
      <c r="O12" s="53" t="b">
        <f ca="1">IFERROR(__xludf.DUMMYFUNCTION("if($G12="""",false, if(isna(match(O$2, split($G12:$G383,"", "",False),0)),false,true))"),FALSE)</f>
        <v>0</v>
      </c>
      <c r="P12" s="53" t="b">
        <f ca="1">IFERROR(__xludf.DUMMYFUNCTION("if($G12="""",false, if(isna(match(P$2, split($G12:$G383,"", "",False),0)),false,true))"),FALSE)</f>
        <v>0</v>
      </c>
      <c r="Q12" s="53" t="b">
        <f ca="1">IFERROR(__xludf.DUMMYFUNCTION("if($G12="""",false, if(isna(match(Q$2, split($G12:$G383,"", "",False),0)),false,true))"),FALSE)</f>
        <v>0</v>
      </c>
      <c r="R12" s="53" t="b">
        <f ca="1">IFERROR(__xludf.DUMMYFUNCTION("if($G12="""",false, if(isna(match(R$2, split($G12:$G383,"", "",False),0)),false,true))"),FALSE)</f>
        <v>0</v>
      </c>
      <c r="S12" s="53" t="b">
        <f ca="1">IFERROR(__xludf.DUMMYFUNCTION("if($G12="""",false, if(isna(match(S$2, split($G12:$G383,"", "",False),0)),false,true))"),FALSE)</f>
        <v>0</v>
      </c>
      <c r="T12" s="53" t="b">
        <f ca="1">IFERROR(__xludf.DUMMYFUNCTION("if($G12="""",false, if(isna(match(T$2, split($G12:$G383,"", "",False),0)),false,true))"),FALSE)</f>
        <v>0</v>
      </c>
      <c r="U12" s="53" t="b">
        <f ca="1">IFERROR(__xludf.DUMMYFUNCTION("if($G12="""",false, if(isna(match(U$2, split($G12:$G383,"", "",False),0)),false,true))"),FALSE)</f>
        <v>0</v>
      </c>
      <c r="V12" s="53" t="b">
        <f ca="1">IFERROR(__xludf.DUMMYFUNCTION("if($G12="""",false, if(isna(match(V$2, split($G12:$G383,"", "",False),0)),false,true))"),FALSE)</f>
        <v>0</v>
      </c>
      <c r="W12" s="57" t="b">
        <f ca="1">IFERROR(__xludf.DUMMYFUNCTION("if($G12="""",false, if(isna(match(W$2, split($G12:$G383,"", "",False),0)),false,true))"),FALSE)</f>
        <v>0</v>
      </c>
    </row>
    <row r="13" spans="1:23" ht="28">
      <c r="A13" s="47" t="s">
        <v>152</v>
      </c>
      <c r="B13" s="48" t="s">
        <v>62</v>
      </c>
      <c r="C13" s="49" t="s">
        <v>125</v>
      </c>
      <c r="D13" s="50" t="s">
        <v>126</v>
      </c>
      <c r="E13" s="49" t="s">
        <v>148</v>
      </c>
      <c r="F13" s="51" t="s">
        <v>153</v>
      </c>
      <c r="G13" s="59" t="s">
        <v>111</v>
      </c>
      <c r="H13" s="53" t="b">
        <f ca="1">IFERROR(__xludf.DUMMYFUNCTION("if($G13="""",false, if(isna(match(H$2, split($G13:$G383,"", "",False),0)),false,true))"),FALSE)</f>
        <v>0</v>
      </c>
      <c r="I13" s="53" t="b">
        <f ca="1">IFERROR(__xludf.DUMMYFUNCTION("if($G13="""",false, if(isna(match(I$2, split($G13:$G383,"", "",False),0)),false,true))"),FALSE)</f>
        <v>0</v>
      </c>
      <c r="J13" s="53" t="b">
        <f ca="1">IFERROR(__xludf.DUMMYFUNCTION("if($G13="""",false, if(isna(match(J$2, split($G13:$G383,"", "",False),0)),false,true))"),FALSE)</f>
        <v>0</v>
      </c>
      <c r="K13" s="53" t="b">
        <f ca="1">IFERROR(__xludf.DUMMYFUNCTION("if($G13="""",false, if(isna(match(K$2, split($G13:$G383,"", "",False),0)),false,true))"),TRUE)</f>
        <v>1</v>
      </c>
      <c r="L13" s="53" t="b">
        <f ca="1">IFERROR(__xludf.DUMMYFUNCTION("if($G13="""",false, if(isna(match(L$2, split($G13:$G383,"", "",False),0)),false,true))"),FALSE)</f>
        <v>0</v>
      </c>
      <c r="M13" s="53" t="b">
        <f ca="1">IFERROR(__xludf.DUMMYFUNCTION("if($G13="""",false, if(isna(match(M$2, split($G13:$G383,"", "",False),0)),false,true))"),FALSE)</f>
        <v>0</v>
      </c>
      <c r="N13" s="53" t="b">
        <f ca="1">IFERROR(__xludf.DUMMYFUNCTION("if($G13="""",false, if(isna(match(N$2, split($G13:$G383,"", "",False),0)),false,true))"),FALSE)</f>
        <v>0</v>
      </c>
      <c r="O13" s="53" t="b">
        <f ca="1">IFERROR(__xludf.DUMMYFUNCTION("if($G13="""",false, if(isna(match(O$2, split($G13:$G383,"", "",False),0)),false,true))"),FALSE)</f>
        <v>0</v>
      </c>
      <c r="P13" s="53" t="b">
        <f ca="1">IFERROR(__xludf.DUMMYFUNCTION("if($G13="""",false, if(isna(match(P$2, split($G13:$G383,"", "",False),0)),false,true))"),FALSE)</f>
        <v>0</v>
      </c>
      <c r="Q13" s="53" t="b">
        <f ca="1">IFERROR(__xludf.DUMMYFUNCTION("if($G13="""",false, if(isna(match(Q$2, split($G13:$G383,"", "",False),0)),false,true))"),FALSE)</f>
        <v>0</v>
      </c>
      <c r="R13" s="53" t="b">
        <f ca="1">IFERROR(__xludf.DUMMYFUNCTION("if($G13="""",false, if(isna(match(R$2, split($G13:$G383,"", "",False),0)),false,true))"),FALSE)</f>
        <v>0</v>
      </c>
      <c r="S13" s="53" t="b">
        <f ca="1">IFERROR(__xludf.DUMMYFUNCTION("if($G13="""",false, if(isna(match(S$2, split($G13:$G383,"", "",False),0)),false,true))"),FALSE)</f>
        <v>0</v>
      </c>
      <c r="T13" s="53" t="b">
        <f ca="1">IFERROR(__xludf.DUMMYFUNCTION("if($G13="""",false, if(isna(match(T$2, split($G13:$G383,"", "",False),0)),false,true))"),FALSE)</f>
        <v>0</v>
      </c>
      <c r="U13" s="53" t="b">
        <f ca="1">IFERROR(__xludf.DUMMYFUNCTION("if($G13="""",false, if(isna(match(U$2, split($G13:$G383,"", "",False),0)),false,true))"),FALSE)</f>
        <v>0</v>
      </c>
      <c r="V13" s="53" t="b">
        <f ca="1">IFERROR(__xludf.DUMMYFUNCTION("if($G13="""",false, if(isna(match(V$2, split($G13:$G383,"", "",False),0)),false,true))"),FALSE)</f>
        <v>0</v>
      </c>
      <c r="W13" s="57" t="b">
        <f ca="1">IFERROR(__xludf.DUMMYFUNCTION("if($G13="""",false, if(isna(match(W$2, split($G13:$G383,"", "",False),0)),false,true))"),FALSE)</f>
        <v>0</v>
      </c>
    </row>
    <row r="14" spans="1:23" ht="28">
      <c r="A14" s="47" t="s">
        <v>154</v>
      </c>
      <c r="B14" s="48" t="s">
        <v>62</v>
      </c>
      <c r="C14" s="49" t="s">
        <v>125</v>
      </c>
      <c r="D14" s="50" t="s">
        <v>126</v>
      </c>
      <c r="E14" s="49" t="s">
        <v>155</v>
      </c>
      <c r="F14" s="51" t="s">
        <v>156</v>
      </c>
      <c r="G14" s="59" t="s">
        <v>111</v>
      </c>
      <c r="H14" s="53" t="b">
        <f ca="1">IFERROR(__xludf.DUMMYFUNCTION("if($G14="""",false, if(isna(match(H$2, split($G14:$G383,"", "",False),0)),false,true))"),FALSE)</f>
        <v>0</v>
      </c>
      <c r="I14" s="53" t="b">
        <f ca="1">IFERROR(__xludf.DUMMYFUNCTION("if($G14="""",false, if(isna(match(I$2, split($G14:$G383,"", "",False),0)),false,true))"),FALSE)</f>
        <v>0</v>
      </c>
      <c r="J14" s="53" t="b">
        <f ca="1">IFERROR(__xludf.DUMMYFUNCTION("if($G14="""",false, if(isna(match(J$2, split($G14:$G383,"", "",False),0)),false,true))"),FALSE)</f>
        <v>0</v>
      </c>
      <c r="K14" s="53" t="b">
        <f ca="1">IFERROR(__xludf.DUMMYFUNCTION("if($G14="""",false, if(isna(match(K$2, split($G14:$G383,"", "",False),0)),false,true))"),TRUE)</f>
        <v>1</v>
      </c>
      <c r="L14" s="53" t="b">
        <f ca="1">IFERROR(__xludf.DUMMYFUNCTION("if($G14="""",false, if(isna(match(L$2, split($G14:$G383,"", "",False),0)),false,true))"),FALSE)</f>
        <v>0</v>
      </c>
      <c r="M14" s="53" t="b">
        <f ca="1">IFERROR(__xludf.DUMMYFUNCTION("if($G14="""",false, if(isna(match(M$2, split($G14:$G383,"", "",False),0)),false,true))"),FALSE)</f>
        <v>0</v>
      </c>
      <c r="N14" s="53" t="b">
        <f ca="1">IFERROR(__xludf.DUMMYFUNCTION("if($G14="""",false, if(isna(match(N$2, split($G14:$G383,"", "",False),0)),false,true))"),FALSE)</f>
        <v>0</v>
      </c>
      <c r="O14" s="53" t="b">
        <f ca="1">IFERROR(__xludf.DUMMYFUNCTION("if($G14="""",false, if(isna(match(O$2, split($G14:$G383,"", "",False),0)),false,true))"),FALSE)</f>
        <v>0</v>
      </c>
      <c r="P14" s="53" t="b">
        <f ca="1">IFERROR(__xludf.DUMMYFUNCTION("if($G14="""",false, if(isna(match(P$2, split($G14:$G383,"", "",False),0)),false,true))"),FALSE)</f>
        <v>0</v>
      </c>
      <c r="Q14" s="53" t="b">
        <f ca="1">IFERROR(__xludf.DUMMYFUNCTION("if($G14="""",false, if(isna(match(Q$2, split($G14:$G383,"", "",False),0)),false,true))"),FALSE)</f>
        <v>0</v>
      </c>
      <c r="R14" s="53" t="b">
        <f ca="1">IFERROR(__xludf.DUMMYFUNCTION("if($G14="""",false, if(isna(match(R$2, split($G14:$G383,"", "",False),0)),false,true))"),FALSE)</f>
        <v>0</v>
      </c>
      <c r="S14" s="53" t="b">
        <f ca="1">IFERROR(__xludf.DUMMYFUNCTION("if($G14="""",false, if(isna(match(S$2, split($G14:$G383,"", "",False),0)),false,true))"),FALSE)</f>
        <v>0</v>
      </c>
      <c r="T14" s="53" t="b">
        <f ca="1">IFERROR(__xludf.DUMMYFUNCTION("if($G14="""",false, if(isna(match(T$2, split($G14:$G383,"", "",False),0)),false,true))"),FALSE)</f>
        <v>0</v>
      </c>
      <c r="U14" s="53" t="b">
        <f ca="1">IFERROR(__xludf.DUMMYFUNCTION("if($G14="""",false, if(isna(match(U$2, split($G14:$G383,"", "",False),0)),false,true))"),FALSE)</f>
        <v>0</v>
      </c>
      <c r="V14" s="53" t="b">
        <f ca="1">IFERROR(__xludf.DUMMYFUNCTION("if($G14="""",false, if(isna(match(V$2, split($G14:$G383,"", "",False),0)),false,true))"),FALSE)</f>
        <v>0</v>
      </c>
      <c r="W14" s="57" t="b">
        <f ca="1">IFERROR(__xludf.DUMMYFUNCTION("if($G14="""",false, if(isna(match(W$2, split($G14:$G383,"", "",False),0)),false,true))"),FALSE)</f>
        <v>0</v>
      </c>
    </row>
    <row r="15" spans="1:23" ht="28">
      <c r="A15" s="47" t="s">
        <v>157</v>
      </c>
      <c r="B15" s="48" t="s">
        <v>62</v>
      </c>
      <c r="C15" s="49" t="s">
        <v>125</v>
      </c>
      <c r="D15" s="50" t="s">
        <v>126</v>
      </c>
      <c r="E15" s="49" t="s">
        <v>155</v>
      </c>
      <c r="F15" s="51" t="s">
        <v>158</v>
      </c>
      <c r="G15" s="59" t="s">
        <v>111</v>
      </c>
      <c r="H15" s="53" t="b">
        <f ca="1">IFERROR(__xludf.DUMMYFUNCTION("if($G15="""",false, if(isna(match(H$2, split($G15:$G383,"", "",False),0)),false,true))"),FALSE)</f>
        <v>0</v>
      </c>
      <c r="I15" s="53" t="b">
        <f ca="1">IFERROR(__xludf.DUMMYFUNCTION("if($G15="""",false, if(isna(match(I$2, split($G15:$G383,"", "",False),0)),false,true))"),FALSE)</f>
        <v>0</v>
      </c>
      <c r="J15" s="53" t="b">
        <f ca="1">IFERROR(__xludf.DUMMYFUNCTION("if($G15="""",false, if(isna(match(J$2, split($G15:$G383,"", "",False),0)),false,true))"),FALSE)</f>
        <v>0</v>
      </c>
      <c r="K15" s="53" t="b">
        <f ca="1">IFERROR(__xludf.DUMMYFUNCTION("if($G15="""",false, if(isna(match(K$2, split($G15:$G383,"", "",False),0)),false,true))"),TRUE)</f>
        <v>1</v>
      </c>
      <c r="L15" s="53" t="b">
        <f ca="1">IFERROR(__xludf.DUMMYFUNCTION("if($G15="""",false, if(isna(match(L$2, split($G15:$G383,"", "",False),0)),false,true))"),FALSE)</f>
        <v>0</v>
      </c>
      <c r="M15" s="53" t="b">
        <f ca="1">IFERROR(__xludf.DUMMYFUNCTION("if($G15="""",false, if(isna(match(M$2, split($G15:$G383,"", "",False),0)),false,true))"),FALSE)</f>
        <v>0</v>
      </c>
      <c r="N15" s="53" t="b">
        <f ca="1">IFERROR(__xludf.DUMMYFUNCTION("if($G15="""",false, if(isna(match(N$2, split($G15:$G383,"", "",False),0)),false,true))"),FALSE)</f>
        <v>0</v>
      </c>
      <c r="O15" s="53" t="b">
        <f ca="1">IFERROR(__xludf.DUMMYFUNCTION("if($G15="""",false, if(isna(match(O$2, split($G15:$G383,"", "",False),0)),false,true))"),FALSE)</f>
        <v>0</v>
      </c>
      <c r="P15" s="53" t="b">
        <f ca="1">IFERROR(__xludf.DUMMYFUNCTION("if($G15="""",false, if(isna(match(P$2, split($G15:$G383,"", "",False),0)),false,true))"),FALSE)</f>
        <v>0</v>
      </c>
      <c r="Q15" s="53" t="b">
        <f ca="1">IFERROR(__xludf.DUMMYFUNCTION("if($G15="""",false, if(isna(match(Q$2, split($G15:$G383,"", "",False),0)),false,true))"),FALSE)</f>
        <v>0</v>
      </c>
      <c r="R15" s="53" t="b">
        <f ca="1">IFERROR(__xludf.DUMMYFUNCTION("if($G15="""",false, if(isna(match(R$2, split($G15:$G383,"", "",False),0)),false,true))"),FALSE)</f>
        <v>0</v>
      </c>
      <c r="S15" s="53" t="b">
        <f ca="1">IFERROR(__xludf.DUMMYFUNCTION("if($G15="""",false, if(isna(match(S$2, split($G15:$G383,"", "",False),0)),false,true))"),FALSE)</f>
        <v>0</v>
      </c>
      <c r="T15" s="53" t="b">
        <f ca="1">IFERROR(__xludf.DUMMYFUNCTION("if($G15="""",false, if(isna(match(T$2, split($G15:$G383,"", "",False),0)),false,true))"),FALSE)</f>
        <v>0</v>
      </c>
      <c r="U15" s="53" t="b">
        <f ca="1">IFERROR(__xludf.DUMMYFUNCTION("if($G15="""",false, if(isna(match(U$2, split($G15:$G383,"", "",False),0)),false,true))"),FALSE)</f>
        <v>0</v>
      </c>
      <c r="V15" s="53" t="b">
        <f ca="1">IFERROR(__xludf.DUMMYFUNCTION("if($G15="""",false, if(isna(match(V$2, split($G15:$G383,"", "",False),0)),false,true))"),FALSE)</f>
        <v>0</v>
      </c>
      <c r="W15" s="57" t="b">
        <f ca="1">IFERROR(__xludf.DUMMYFUNCTION("if($G15="""",false, if(isna(match(W$2, split($G15:$G383,"", "",False),0)),false,true))"),FALSE)</f>
        <v>0</v>
      </c>
    </row>
    <row r="16" spans="1:23" ht="28">
      <c r="A16" s="47" t="s">
        <v>159</v>
      </c>
      <c r="B16" s="48" t="s">
        <v>62</v>
      </c>
      <c r="C16" s="49" t="s">
        <v>125</v>
      </c>
      <c r="D16" s="50" t="s">
        <v>126</v>
      </c>
      <c r="E16" s="49" t="s">
        <v>155</v>
      </c>
      <c r="F16" s="51" t="s">
        <v>160</v>
      </c>
      <c r="G16" s="59" t="s">
        <v>111</v>
      </c>
      <c r="H16" s="53" t="b">
        <f ca="1">IFERROR(__xludf.DUMMYFUNCTION("if($G16="""",false, if(isna(match(H$2, split($G16:$G383,"", "",False),0)),false,true))"),FALSE)</f>
        <v>0</v>
      </c>
      <c r="I16" s="53" t="b">
        <f ca="1">IFERROR(__xludf.DUMMYFUNCTION("if($G16="""",false, if(isna(match(I$2, split($G16:$G383,"", "",False),0)),false,true))"),FALSE)</f>
        <v>0</v>
      </c>
      <c r="J16" s="53" t="b">
        <f ca="1">IFERROR(__xludf.DUMMYFUNCTION("if($G16="""",false, if(isna(match(J$2, split($G16:$G383,"", "",False),0)),false,true))"),FALSE)</f>
        <v>0</v>
      </c>
      <c r="K16" s="53" t="b">
        <f ca="1">IFERROR(__xludf.DUMMYFUNCTION("if($G16="""",false, if(isna(match(K$2, split($G16:$G383,"", "",False),0)),false,true))"),TRUE)</f>
        <v>1</v>
      </c>
      <c r="L16" s="53" t="b">
        <f ca="1">IFERROR(__xludf.DUMMYFUNCTION("if($G16="""",false, if(isna(match(L$2, split($G16:$G383,"", "",False),0)),false,true))"),FALSE)</f>
        <v>0</v>
      </c>
      <c r="M16" s="53" t="b">
        <f ca="1">IFERROR(__xludf.DUMMYFUNCTION("if($G16="""",false, if(isna(match(M$2, split($G16:$G383,"", "",False),0)),false,true))"),FALSE)</f>
        <v>0</v>
      </c>
      <c r="N16" s="53" t="b">
        <f ca="1">IFERROR(__xludf.DUMMYFUNCTION("if($G16="""",false, if(isna(match(N$2, split($G16:$G383,"", "",False),0)),false,true))"),FALSE)</f>
        <v>0</v>
      </c>
      <c r="O16" s="53" t="b">
        <f ca="1">IFERROR(__xludf.DUMMYFUNCTION("if($G16="""",false, if(isna(match(O$2, split($G16:$G383,"", "",False),0)),false,true))"),FALSE)</f>
        <v>0</v>
      </c>
      <c r="P16" s="53" t="b">
        <f ca="1">IFERROR(__xludf.DUMMYFUNCTION("if($G16="""",false, if(isna(match(P$2, split($G16:$G383,"", "",False),0)),false,true))"),FALSE)</f>
        <v>0</v>
      </c>
      <c r="Q16" s="53" t="b">
        <f ca="1">IFERROR(__xludf.DUMMYFUNCTION("if($G16="""",false, if(isna(match(Q$2, split($G16:$G383,"", "",False),0)),false,true))"),FALSE)</f>
        <v>0</v>
      </c>
      <c r="R16" s="53" t="b">
        <f ca="1">IFERROR(__xludf.DUMMYFUNCTION("if($G16="""",false, if(isna(match(R$2, split($G16:$G383,"", "",False),0)),false,true))"),FALSE)</f>
        <v>0</v>
      </c>
      <c r="S16" s="53" t="b">
        <f ca="1">IFERROR(__xludf.DUMMYFUNCTION("if($G16="""",false, if(isna(match(S$2, split($G16:$G383,"", "",False),0)),false,true))"),FALSE)</f>
        <v>0</v>
      </c>
      <c r="T16" s="53" t="b">
        <f ca="1">IFERROR(__xludf.DUMMYFUNCTION("if($G16="""",false, if(isna(match(T$2, split($G16:$G383,"", "",False),0)),false,true))"),FALSE)</f>
        <v>0</v>
      </c>
      <c r="U16" s="53" t="b">
        <f ca="1">IFERROR(__xludf.DUMMYFUNCTION("if($G16="""",false, if(isna(match(U$2, split($G16:$G383,"", "",False),0)),false,true))"),FALSE)</f>
        <v>0</v>
      </c>
      <c r="V16" s="53" t="b">
        <f ca="1">IFERROR(__xludf.DUMMYFUNCTION("if($G16="""",false, if(isna(match(V$2, split($G16:$G383,"", "",False),0)),false,true))"),FALSE)</f>
        <v>0</v>
      </c>
      <c r="W16" s="57" t="b">
        <f ca="1">IFERROR(__xludf.DUMMYFUNCTION("if($G16="""",false, if(isna(match(W$2, split($G16:$G383,"", "",False),0)),false,true))"),FALSE)</f>
        <v>0</v>
      </c>
    </row>
    <row r="17" spans="1:23" ht="14">
      <c r="A17" s="47" t="s">
        <v>161</v>
      </c>
      <c r="B17" s="48" t="s">
        <v>62</v>
      </c>
      <c r="C17" s="49" t="s">
        <v>125</v>
      </c>
      <c r="D17" s="50" t="s">
        <v>162</v>
      </c>
      <c r="E17" s="49" t="s">
        <v>163</v>
      </c>
      <c r="F17" s="51" t="s">
        <v>164</v>
      </c>
      <c r="G17" s="59" t="s">
        <v>116</v>
      </c>
      <c r="H17" s="53" t="b">
        <f ca="1">IFERROR(__xludf.DUMMYFUNCTION("if($G17="""",false, if(isna(match(H$2, split($G17:$G383,"", "",False),0)),false,true))"),FALSE)</f>
        <v>0</v>
      </c>
      <c r="I17" s="53" t="b">
        <f ca="1">IFERROR(__xludf.DUMMYFUNCTION("if($G17="""",false, if(isna(match(I$2, split($G17:$G383,"", "",False),0)),false,true))"),FALSE)</f>
        <v>0</v>
      </c>
      <c r="J17" s="53" t="b">
        <f ca="1">IFERROR(__xludf.DUMMYFUNCTION("if($G17="""",false, if(isna(match(J$2, split($G17:$G383,"", "",False),0)),false,true))"),FALSE)</f>
        <v>0</v>
      </c>
      <c r="K17" s="53" t="b">
        <f ca="1">IFERROR(__xludf.DUMMYFUNCTION("if($G17="""",false, if(isna(match(K$2, split($G17:$G383,"", "",False),0)),false,true))"),FALSE)</f>
        <v>0</v>
      </c>
      <c r="L17" s="53" t="b">
        <f ca="1">IFERROR(__xludf.DUMMYFUNCTION("if($G17="""",false, if(isna(match(L$2, split($G17:$G383,"", "",False),0)),false,true))"),FALSE)</f>
        <v>0</v>
      </c>
      <c r="M17" s="53" t="b">
        <f ca="1">IFERROR(__xludf.DUMMYFUNCTION("if($G17="""",false, if(isna(match(M$2, split($G17:$G383,"", "",False),0)),false,true))"),FALSE)</f>
        <v>0</v>
      </c>
      <c r="N17" s="53" t="b">
        <f ca="1">IFERROR(__xludf.DUMMYFUNCTION("if($G17="""",false, if(isna(match(N$2, split($G17:$G383,"", "",False),0)),false,true))"),FALSE)</f>
        <v>0</v>
      </c>
      <c r="O17" s="53" t="b">
        <f ca="1">IFERROR(__xludf.DUMMYFUNCTION("if($G17="""",false, if(isna(match(O$2, split($G17:$G383,"", "",False),0)),false,true))"),FALSE)</f>
        <v>0</v>
      </c>
      <c r="P17" s="53" t="b">
        <f ca="1">IFERROR(__xludf.DUMMYFUNCTION("if($G17="""",false, if(isna(match(P$2, split($G17:$G383,"", "",False),0)),false,true))"),TRUE)</f>
        <v>1</v>
      </c>
      <c r="Q17" s="53" t="b">
        <f ca="1">IFERROR(__xludf.DUMMYFUNCTION("if($G17="""",false, if(isna(match(Q$2, split($G17:$G383,"", "",False),0)),false,true))"),FALSE)</f>
        <v>0</v>
      </c>
      <c r="R17" s="53" t="b">
        <f ca="1">IFERROR(__xludf.DUMMYFUNCTION("if($G17="""",false, if(isna(match(R$2, split($G17:$G383,"", "",False),0)),false,true))"),FALSE)</f>
        <v>0</v>
      </c>
      <c r="S17" s="53" t="b">
        <f ca="1">IFERROR(__xludf.DUMMYFUNCTION("if($G17="""",false, if(isna(match(S$2, split($G17:$G383,"", "",False),0)),false,true))"),FALSE)</f>
        <v>0</v>
      </c>
      <c r="T17" s="53" t="b">
        <f ca="1">IFERROR(__xludf.DUMMYFUNCTION("if($G17="""",false, if(isna(match(T$2, split($G17:$G383,"", "",False),0)),false,true))"),FALSE)</f>
        <v>0</v>
      </c>
      <c r="U17" s="53" t="b">
        <f ca="1">IFERROR(__xludf.DUMMYFUNCTION("if($G17="""",false, if(isna(match(U$2, split($G17:$G383,"", "",False),0)),false,true))"),FALSE)</f>
        <v>0</v>
      </c>
      <c r="V17" s="53" t="b">
        <f ca="1">IFERROR(__xludf.DUMMYFUNCTION("if($G17="""",false, if(isna(match(V$2, split($G17:$G383,"", "",False),0)),false,true))"),FALSE)</f>
        <v>0</v>
      </c>
      <c r="W17" s="57" t="b">
        <f ca="1">IFERROR(__xludf.DUMMYFUNCTION("if($G17="""",false, if(isna(match(W$2, split($G17:$G383,"", "",False),0)),false,true))"),FALSE)</f>
        <v>0</v>
      </c>
    </row>
    <row r="18" spans="1:23" ht="98">
      <c r="A18" s="47" t="s">
        <v>165</v>
      </c>
      <c r="B18" s="48" t="s">
        <v>62</v>
      </c>
      <c r="C18" s="49" t="s">
        <v>125</v>
      </c>
      <c r="D18" s="50" t="s">
        <v>162</v>
      </c>
      <c r="E18" s="49" t="s">
        <v>163</v>
      </c>
      <c r="F18" s="51" t="s">
        <v>166</v>
      </c>
      <c r="G18" s="59" t="s">
        <v>167</v>
      </c>
      <c r="H18" s="53" t="b">
        <f ca="1">IFERROR(__xludf.DUMMYFUNCTION("if($G18="""",false, if(isna(match(H$2, split($G18:$G383,"", "",False),0)),false,true))"),FALSE)</f>
        <v>0</v>
      </c>
      <c r="I18" s="53" t="b">
        <f ca="1">IFERROR(__xludf.DUMMYFUNCTION("if($G18="""",false, if(isna(match(I$2, split($G18:$G383,"", "",False),0)),false,true))"),FALSE)</f>
        <v>0</v>
      </c>
      <c r="J18" s="53" t="b">
        <f ca="1">IFERROR(__xludf.DUMMYFUNCTION("if($G18="""",false, if(isna(match(J$2, split($G18:$G383,"", "",False),0)),false,true))"),FALSE)</f>
        <v>0</v>
      </c>
      <c r="K18" s="53" t="b">
        <f ca="1">IFERROR(__xludf.DUMMYFUNCTION("if($G18="""",false, if(isna(match(K$2, split($G18:$G383,"", "",False),0)),false,true))"),FALSE)</f>
        <v>0</v>
      </c>
      <c r="L18" s="53" t="b">
        <f ca="1">IFERROR(__xludf.DUMMYFUNCTION("if($G18="""",false, if(isna(match(L$2, split($G18:$G383,"", "",False),0)),false,true))"),FALSE)</f>
        <v>0</v>
      </c>
      <c r="M18" s="53" t="b">
        <f ca="1">IFERROR(__xludf.DUMMYFUNCTION("if($G18="""",false, if(isna(match(M$2, split($G18:$G383,"", "",False),0)),false,true))"),FALSE)</f>
        <v>0</v>
      </c>
      <c r="N18" s="53" t="b">
        <f ca="1">IFERROR(__xludf.DUMMYFUNCTION("if($G18="""",false, if(isna(match(N$2, split($G18:$G383,"", "",False),0)),false,true))"),FALSE)</f>
        <v>0</v>
      </c>
      <c r="O18" s="53" t="b">
        <f ca="1">IFERROR(__xludf.DUMMYFUNCTION("if($G18="""",false, if(isna(match(O$2, split($G18:$G383,"", "",False),0)),false,true))"),TRUE)</f>
        <v>1</v>
      </c>
      <c r="P18" s="53" t="b">
        <f ca="1">IFERROR(__xludf.DUMMYFUNCTION("if($G18="""",false, if(isna(match(P$2, split($G18:$G383,"", "",False),0)),false,true))"),TRUE)</f>
        <v>1</v>
      </c>
      <c r="Q18" s="53" t="b">
        <f ca="1">IFERROR(__xludf.DUMMYFUNCTION("if($G18="""",false, if(isna(match(Q$2, split($G18:$G383,"", "",False),0)),false,true))"),FALSE)</f>
        <v>0</v>
      </c>
      <c r="R18" s="53" t="b">
        <f ca="1">IFERROR(__xludf.DUMMYFUNCTION("if($G18="""",false, if(isna(match(R$2, split($G18:$G383,"", "",False),0)),false,true))"),FALSE)</f>
        <v>0</v>
      </c>
      <c r="S18" s="53" t="b">
        <f ca="1">IFERROR(__xludf.DUMMYFUNCTION("if($G18="""",false, if(isna(match(S$2, split($G18:$G383,"", "",False),0)),false,true))"),FALSE)</f>
        <v>0</v>
      </c>
      <c r="T18" s="53" t="b">
        <f ca="1">IFERROR(__xludf.DUMMYFUNCTION("if($G18="""",false, if(isna(match(T$2, split($G18:$G383,"", "",False),0)),false,true))"),FALSE)</f>
        <v>0</v>
      </c>
      <c r="U18" s="53" t="b">
        <f ca="1">IFERROR(__xludf.DUMMYFUNCTION("if($G18="""",false, if(isna(match(U$2, split($G18:$G383,"", "",False),0)),false,true))"),FALSE)</f>
        <v>0</v>
      </c>
      <c r="V18" s="53" t="b">
        <f ca="1">IFERROR(__xludf.DUMMYFUNCTION("if($G18="""",false, if(isna(match(V$2, split($G18:$G383,"", "",False),0)),false,true))"),FALSE)</f>
        <v>0</v>
      </c>
      <c r="W18" s="57" t="b">
        <f ca="1">IFERROR(__xludf.DUMMYFUNCTION("if($G18="""",false, if(isna(match(W$2, split($G18:$G383,"", "",False),0)),false,true))"),FALSE)</f>
        <v>0</v>
      </c>
    </row>
    <row r="19" spans="1:23" ht="14">
      <c r="A19" s="47" t="s">
        <v>168</v>
      </c>
      <c r="B19" s="48" t="s">
        <v>62</v>
      </c>
      <c r="C19" s="49" t="s">
        <v>125</v>
      </c>
      <c r="D19" s="50" t="s">
        <v>162</v>
      </c>
      <c r="E19" s="49" t="s">
        <v>163</v>
      </c>
      <c r="F19" s="51" t="s">
        <v>169</v>
      </c>
      <c r="G19" s="59" t="s">
        <v>119</v>
      </c>
      <c r="H19" s="53" t="b">
        <f ca="1">IFERROR(__xludf.DUMMYFUNCTION("if($G19="""",false, if(isna(match(H$2, split($G19:$G383,"", "",False),0)),false,true))"),FALSE)</f>
        <v>0</v>
      </c>
      <c r="I19" s="53" t="b">
        <f ca="1">IFERROR(__xludf.DUMMYFUNCTION("if($G19="""",false, if(isna(match(I$2, split($G19:$G383,"", "",False),0)),false,true))"),FALSE)</f>
        <v>0</v>
      </c>
      <c r="J19" s="53" t="b">
        <f ca="1">IFERROR(__xludf.DUMMYFUNCTION("if($G19="""",false, if(isna(match(J$2, split($G19:$G383,"", "",False),0)),false,true))"),FALSE)</f>
        <v>0</v>
      </c>
      <c r="K19" s="53" t="b">
        <f ca="1">IFERROR(__xludf.DUMMYFUNCTION("if($G19="""",false, if(isna(match(K$2, split($G19:$G383,"", "",False),0)),false,true))"),FALSE)</f>
        <v>0</v>
      </c>
      <c r="L19" s="53" t="b">
        <f ca="1">IFERROR(__xludf.DUMMYFUNCTION("if($G19="""",false, if(isna(match(L$2, split($G19:$G383,"", "",False),0)),false,true))"),FALSE)</f>
        <v>0</v>
      </c>
      <c r="M19" s="53" t="b">
        <f ca="1">IFERROR(__xludf.DUMMYFUNCTION("if($G19="""",false, if(isna(match(M$2, split($G19:$G383,"", "",False),0)),false,true))"),FALSE)</f>
        <v>0</v>
      </c>
      <c r="N19" s="53" t="b">
        <f ca="1">IFERROR(__xludf.DUMMYFUNCTION("if($G19="""",false, if(isna(match(N$2, split($G19:$G383,"", "",False),0)),false,true))"),FALSE)</f>
        <v>0</v>
      </c>
      <c r="O19" s="53" t="b">
        <f ca="1">IFERROR(__xludf.DUMMYFUNCTION("if($G19="""",false, if(isna(match(O$2, split($G19:$G383,"", "",False),0)),false,true))"),FALSE)</f>
        <v>0</v>
      </c>
      <c r="P19" s="53" t="b">
        <f ca="1">IFERROR(__xludf.DUMMYFUNCTION("if($G19="""",false, if(isna(match(P$2, split($G19:$G383,"", "",False),0)),false,true))"),FALSE)</f>
        <v>0</v>
      </c>
      <c r="Q19" s="53" t="b">
        <f ca="1">IFERROR(__xludf.DUMMYFUNCTION("if($G19="""",false, if(isna(match(Q$2, split($G19:$G383,"", "",False),0)),false,true))"),FALSE)</f>
        <v>0</v>
      </c>
      <c r="R19" s="53" t="b">
        <f ca="1">IFERROR(__xludf.DUMMYFUNCTION("if($G19="""",false, if(isna(match(R$2, split($G19:$G383,"", "",False),0)),false,true))"),FALSE)</f>
        <v>0</v>
      </c>
      <c r="S19" s="53" t="b">
        <f ca="1">IFERROR(__xludf.DUMMYFUNCTION("if($G19="""",false, if(isna(match(S$2, split($G19:$G383,"", "",False),0)),false,true))"),TRUE)</f>
        <v>1</v>
      </c>
      <c r="T19" s="53" t="b">
        <f ca="1">IFERROR(__xludf.DUMMYFUNCTION("if($G19="""",false, if(isna(match(T$2, split($G19:$G383,"", "",False),0)),false,true))"),FALSE)</f>
        <v>0</v>
      </c>
      <c r="U19" s="53" t="b">
        <f ca="1">IFERROR(__xludf.DUMMYFUNCTION("if($G19="""",false, if(isna(match(U$2, split($G19:$G383,"", "",False),0)),false,true))"),FALSE)</f>
        <v>0</v>
      </c>
      <c r="V19" s="53" t="b">
        <f ca="1">IFERROR(__xludf.DUMMYFUNCTION("if($G19="""",false, if(isna(match(V$2, split($G19:$G383,"", "",False),0)),false,true))"),FALSE)</f>
        <v>0</v>
      </c>
      <c r="W19" s="57" t="b">
        <f ca="1">IFERROR(__xludf.DUMMYFUNCTION("if($G19="""",false, if(isna(match(W$2, split($G19:$G383,"", "",False),0)),false,true))"),FALSE)</f>
        <v>0</v>
      </c>
    </row>
    <row r="20" spans="1:23" ht="28">
      <c r="A20" s="47" t="s">
        <v>170</v>
      </c>
      <c r="B20" s="48" t="s">
        <v>62</v>
      </c>
      <c r="C20" s="49" t="s">
        <v>125</v>
      </c>
      <c r="D20" s="50" t="s">
        <v>162</v>
      </c>
      <c r="E20" s="49" t="s">
        <v>163</v>
      </c>
      <c r="F20" s="51" t="s">
        <v>171</v>
      </c>
      <c r="G20" s="59" t="s">
        <v>119</v>
      </c>
      <c r="H20" s="53" t="b">
        <f ca="1">IFERROR(__xludf.DUMMYFUNCTION("if($G20="""",false, if(isna(match(H$2, split($G20:$G383,"", "",False),0)),false,true))"),FALSE)</f>
        <v>0</v>
      </c>
      <c r="I20" s="53" t="b">
        <f ca="1">IFERROR(__xludf.DUMMYFUNCTION("if($G20="""",false, if(isna(match(I$2, split($G20:$G383,"", "",False),0)),false,true))"),FALSE)</f>
        <v>0</v>
      </c>
      <c r="J20" s="53" t="b">
        <f ca="1">IFERROR(__xludf.DUMMYFUNCTION("if($G20="""",false, if(isna(match(J$2, split($G20:$G383,"", "",False),0)),false,true))"),FALSE)</f>
        <v>0</v>
      </c>
      <c r="K20" s="53" t="b">
        <f ca="1">IFERROR(__xludf.DUMMYFUNCTION("if($G20="""",false, if(isna(match(K$2, split($G20:$G383,"", "",False),0)),false,true))"),FALSE)</f>
        <v>0</v>
      </c>
      <c r="L20" s="53" t="b">
        <f ca="1">IFERROR(__xludf.DUMMYFUNCTION("if($G20="""",false, if(isna(match(L$2, split($G20:$G383,"", "",False),0)),false,true))"),FALSE)</f>
        <v>0</v>
      </c>
      <c r="M20" s="53" t="b">
        <f ca="1">IFERROR(__xludf.DUMMYFUNCTION("if($G20="""",false, if(isna(match(M$2, split($G20:$G383,"", "",False),0)),false,true))"),FALSE)</f>
        <v>0</v>
      </c>
      <c r="N20" s="53" t="b">
        <f ca="1">IFERROR(__xludf.DUMMYFUNCTION("if($G20="""",false, if(isna(match(N$2, split($G20:$G383,"", "",False),0)),false,true))"),FALSE)</f>
        <v>0</v>
      </c>
      <c r="O20" s="53" t="b">
        <f ca="1">IFERROR(__xludf.DUMMYFUNCTION("if($G20="""",false, if(isna(match(O$2, split($G20:$G383,"", "",False),0)),false,true))"),FALSE)</f>
        <v>0</v>
      </c>
      <c r="P20" s="53" t="b">
        <f ca="1">IFERROR(__xludf.DUMMYFUNCTION("if($G20="""",false, if(isna(match(P$2, split($G20:$G383,"", "",False),0)),false,true))"),FALSE)</f>
        <v>0</v>
      </c>
      <c r="Q20" s="53" t="b">
        <f ca="1">IFERROR(__xludf.DUMMYFUNCTION("if($G20="""",false, if(isna(match(Q$2, split($G20:$G383,"", "",False),0)),false,true))"),FALSE)</f>
        <v>0</v>
      </c>
      <c r="R20" s="53" t="b">
        <f ca="1">IFERROR(__xludf.DUMMYFUNCTION("if($G20="""",false, if(isna(match(R$2, split($G20:$G383,"", "",False),0)),false,true))"),FALSE)</f>
        <v>0</v>
      </c>
      <c r="S20" s="53" t="b">
        <f ca="1">IFERROR(__xludf.DUMMYFUNCTION("if($G20="""",false, if(isna(match(S$2, split($G20:$G383,"", "",False),0)),false,true))"),TRUE)</f>
        <v>1</v>
      </c>
      <c r="T20" s="53" t="b">
        <f ca="1">IFERROR(__xludf.DUMMYFUNCTION("if($G20="""",false, if(isna(match(T$2, split($G20:$G383,"", "",False),0)),false,true))"),FALSE)</f>
        <v>0</v>
      </c>
      <c r="U20" s="53" t="b">
        <f ca="1">IFERROR(__xludf.DUMMYFUNCTION("if($G20="""",false, if(isna(match(U$2, split($G20:$G383,"", "",False),0)),false,true))"),FALSE)</f>
        <v>0</v>
      </c>
      <c r="V20" s="53" t="b">
        <f ca="1">IFERROR(__xludf.DUMMYFUNCTION("if($G20="""",false, if(isna(match(V$2, split($G20:$G383,"", "",False),0)),false,true))"),FALSE)</f>
        <v>0</v>
      </c>
      <c r="W20" s="57" t="b">
        <f ca="1">IFERROR(__xludf.DUMMYFUNCTION("if($G20="""",false, if(isna(match(W$2, split($G20:$G383,"", "",False),0)),false,true))"),FALSE)</f>
        <v>0</v>
      </c>
    </row>
    <row r="21" spans="1:23" ht="28">
      <c r="A21" s="47" t="s">
        <v>172</v>
      </c>
      <c r="B21" s="48" t="s">
        <v>62</v>
      </c>
      <c r="C21" s="49" t="s">
        <v>125</v>
      </c>
      <c r="D21" s="50" t="s">
        <v>162</v>
      </c>
      <c r="E21" s="49" t="s">
        <v>163</v>
      </c>
      <c r="F21" s="51" t="s">
        <v>173</v>
      </c>
      <c r="G21" s="59" t="s">
        <v>119</v>
      </c>
      <c r="H21" s="53" t="b">
        <f ca="1">IFERROR(__xludf.DUMMYFUNCTION("if($G21="""",false, if(isna(match(H$2, split($G21:$G383,"", "",False),0)),false,true))"),FALSE)</f>
        <v>0</v>
      </c>
      <c r="I21" s="53" t="b">
        <f ca="1">IFERROR(__xludf.DUMMYFUNCTION("if($G21="""",false, if(isna(match(I$2, split($G21:$G383,"", "",False),0)),false,true))"),FALSE)</f>
        <v>0</v>
      </c>
      <c r="J21" s="53" t="b">
        <f ca="1">IFERROR(__xludf.DUMMYFUNCTION("if($G21="""",false, if(isna(match(J$2, split($G21:$G383,"", "",False),0)),false,true))"),FALSE)</f>
        <v>0</v>
      </c>
      <c r="K21" s="53" t="b">
        <f ca="1">IFERROR(__xludf.DUMMYFUNCTION("if($G21="""",false, if(isna(match(K$2, split($G21:$G383,"", "",False),0)),false,true))"),FALSE)</f>
        <v>0</v>
      </c>
      <c r="L21" s="53" t="b">
        <f ca="1">IFERROR(__xludf.DUMMYFUNCTION("if($G21="""",false, if(isna(match(L$2, split($G21:$G383,"", "",False),0)),false,true))"),FALSE)</f>
        <v>0</v>
      </c>
      <c r="M21" s="53" t="b">
        <f ca="1">IFERROR(__xludf.DUMMYFUNCTION("if($G21="""",false, if(isna(match(M$2, split($G21:$G383,"", "",False),0)),false,true))"),FALSE)</f>
        <v>0</v>
      </c>
      <c r="N21" s="53" t="b">
        <f ca="1">IFERROR(__xludf.DUMMYFUNCTION("if($G21="""",false, if(isna(match(N$2, split($G21:$G383,"", "",False),0)),false,true))"),FALSE)</f>
        <v>0</v>
      </c>
      <c r="O21" s="53" t="b">
        <f ca="1">IFERROR(__xludf.DUMMYFUNCTION("if($G21="""",false, if(isna(match(O$2, split($G21:$G383,"", "",False),0)),false,true))"),FALSE)</f>
        <v>0</v>
      </c>
      <c r="P21" s="53" t="b">
        <f ca="1">IFERROR(__xludf.DUMMYFUNCTION("if($G21="""",false, if(isna(match(P$2, split($G21:$G383,"", "",False),0)),false,true))"),FALSE)</f>
        <v>0</v>
      </c>
      <c r="Q21" s="53" t="b">
        <f ca="1">IFERROR(__xludf.DUMMYFUNCTION("if($G21="""",false, if(isna(match(Q$2, split($G21:$G383,"", "",False),0)),false,true))"),FALSE)</f>
        <v>0</v>
      </c>
      <c r="R21" s="53" t="b">
        <f ca="1">IFERROR(__xludf.DUMMYFUNCTION("if($G21="""",false, if(isna(match(R$2, split($G21:$G383,"", "",False),0)),false,true))"),FALSE)</f>
        <v>0</v>
      </c>
      <c r="S21" s="53" t="b">
        <f ca="1">IFERROR(__xludf.DUMMYFUNCTION("if($G21="""",false, if(isna(match(S$2, split($G21:$G383,"", "",False),0)),false,true))"),TRUE)</f>
        <v>1</v>
      </c>
      <c r="T21" s="53" t="b">
        <f ca="1">IFERROR(__xludf.DUMMYFUNCTION("if($G21="""",false, if(isna(match(T$2, split($G21:$G383,"", "",False),0)),false,true))"),FALSE)</f>
        <v>0</v>
      </c>
      <c r="U21" s="53" t="b">
        <f ca="1">IFERROR(__xludf.DUMMYFUNCTION("if($G21="""",false, if(isna(match(U$2, split($G21:$G383,"", "",False),0)),false,true))"),FALSE)</f>
        <v>0</v>
      </c>
      <c r="V21" s="53" t="b">
        <f ca="1">IFERROR(__xludf.DUMMYFUNCTION("if($G21="""",false, if(isna(match(V$2, split($G21:$G383,"", "",False),0)),false,true))"),FALSE)</f>
        <v>0</v>
      </c>
      <c r="W21" s="57" t="b">
        <f ca="1">IFERROR(__xludf.DUMMYFUNCTION("if($G21="""",false, if(isna(match(W$2, split($G21:$G383,"", "",False),0)),false,true))"),FALSE)</f>
        <v>0</v>
      </c>
    </row>
    <row r="22" spans="1:23" ht="28">
      <c r="A22" s="47" t="s">
        <v>174</v>
      </c>
      <c r="B22" s="48" t="s">
        <v>62</v>
      </c>
      <c r="C22" s="49" t="s">
        <v>125</v>
      </c>
      <c r="D22" s="50" t="s">
        <v>162</v>
      </c>
      <c r="E22" s="49" t="s">
        <v>163</v>
      </c>
      <c r="F22" s="51" t="s">
        <v>175</v>
      </c>
      <c r="G22" s="59" t="s">
        <v>176</v>
      </c>
      <c r="H22" s="53" t="b">
        <f ca="1">IFERROR(__xludf.DUMMYFUNCTION("if($G22="""",false, if(isna(match(H$2, split($G22:$G383,"", "",False),0)),false,true))"),FALSE)</f>
        <v>0</v>
      </c>
      <c r="I22" s="53" t="b">
        <f ca="1">IFERROR(__xludf.DUMMYFUNCTION("if($G22="""",false, if(isna(match(I$2, split($G22:$G383,"", "",False),0)),false,true))"),FALSE)</f>
        <v>0</v>
      </c>
      <c r="J22" s="53" t="b">
        <f ca="1">IFERROR(__xludf.DUMMYFUNCTION("if($G22="""",false, if(isna(match(J$2, split($G22:$G383,"", "",False),0)),false,true))"),FALSE)</f>
        <v>0</v>
      </c>
      <c r="K22" s="53" t="b">
        <f ca="1">IFERROR(__xludf.DUMMYFUNCTION("if($G22="""",false, if(isna(match(K$2, split($G22:$G383,"", "",False),0)),false,true))"),FALSE)</f>
        <v>0</v>
      </c>
      <c r="L22" s="53" t="b">
        <f ca="1">IFERROR(__xludf.DUMMYFUNCTION("if($G22="""",false, if(isna(match(L$2, split($G22:$G383,"", "",False),0)),false,true))"),FALSE)</f>
        <v>0</v>
      </c>
      <c r="M22" s="53" t="b">
        <f ca="1">IFERROR(__xludf.DUMMYFUNCTION("if($G22="""",false, if(isna(match(M$2, split($G22:$G383,"", "",False),0)),false,true))"),FALSE)</f>
        <v>0</v>
      </c>
      <c r="N22" s="53" t="b">
        <f ca="1">IFERROR(__xludf.DUMMYFUNCTION("if($G22="""",false, if(isna(match(N$2, split($G22:$G383,"", "",False),0)),false,true))"),FALSE)</f>
        <v>0</v>
      </c>
      <c r="O22" s="53" t="b">
        <f ca="1">IFERROR(__xludf.DUMMYFUNCTION("if($G22="""",false, if(isna(match(O$2, split($G22:$G383,"", "",False),0)),false,true))"),FALSE)</f>
        <v>0</v>
      </c>
      <c r="P22" s="53" t="b">
        <f ca="1">IFERROR(__xludf.DUMMYFUNCTION("if($G22="""",false, if(isna(match(P$2, split($G22:$G383,"", "",False),0)),false,true))"),FALSE)</f>
        <v>0</v>
      </c>
      <c r="Q22" s="53" t="b">
        <f ca="1">IFERROR(__xludf.DUMMYFUNCTION("if($G22="""",false, if(isna(match(Q$2, split($G22:$G383,"", "",False),0)),false,true))"),FALSE)</f>
        <v>0</v>
      </c>
      <c r="R22" s="53" t="b">
        <f ca="1">IFERROR(__xludf.DUMMYFUNCTION("if($G22="""",false, if(isna(match(R$2, split($G22:$G383,"", "",False),0)),false,true))"),FALSE)</f>
        <v>0</v>
      </c>
      <c r="S22" s="53" t="b">
        <f ca="1">IFERROR(__xludf.DUMMYFUNCTION("if($G22="""",false, if(isna(match(S$2, split($G22:$G383,"", "",False),0)),false,true))"),TRUE)</f>
        <v>1</v>
      </c>
      <c r="T22" s="53" t="b">
        <f ca="1">IFERROR(__xludf.DUMMYFUNCTION("if($G22="""",false, if(isna(match(T$2, split($G22:$G383,"", "",False),0)),false,true))"),TRUE)</f>
        <v>1</v>
      </c>
      <c r="U22" s="53" t="b">
        <f ca="1">IFERROR(__xludf.DUMMYFUNCTION("if($G22="""",false, if(isna(match(U$2, split($G22:$G383,"", "",False),0)),false,true))"),FALSE)</f>
        <v>0</v>
      </c>
      <c r="V22" s="53" t="b">
        <f ca="1">IFERROR(__xludf.DUMMYFUNCTION("if($G22="""",false, if(isna(match(V$2, split($G22:$G383,"", "",False),0)),false,true))"),FALSE)</f>
        <v>0</v>
      </c>
      <c r="W22" s="57" t="b">
        <f ca="1">IFERROR(__xludf.DUMMYFUNCTION("if($G22="""",false, if(isna(match(W$2, split($G22:$G383,"", "",False),0)),false,true))"),FALSE)</f>
        <v>0</v>
      </c>
    </row>
    <row r="23" spans="1:23" ht="70">
      <c r="A23" s="47" t="s">
        <v>177</v>
      </c>
      <c r="B23" s="48" t="s">
        <v>62</v>
      </c>
      <c r="C23" s="49" t="s">
        <v>125</v>
      </c>
      <c r="D23" s="50" t="s">
        <v>162</v>
      </c>
      <c r="E23" s="49" t="s">
        <v>163</v>
      </c>
      <c r="F23" s="51" t="s">
        <v>178</v>
      </c>
      <c r="G23" s="59" t="s">
        <v>119</v>
      </c>
      <c r="H23" s="53" t="b">
        <f ca="1">IFERROR(__xludf.DUMMYFUNCTION("if($G23="""",false, if(isna(match(H$2, split($G23:$G383,"", "",False),0)),false,true))"),FALSE)</f>
        <v>0</v>
      </c>
      <c r="I23" s="53" t="b">
        <f ca="1">IFERROR(__xludf.DUMMYFUNCTION("if($G23="""",false, if(isna(match(I$2, split($G23:$G383,"", "",False),0)),false,true))"),FALSE)</f>
        <v>0</v>
      </c>
      <c r="J23" s="53" t="b">
        <f ca="1">IFERROR(__xludf.DUMMYFUNCTION("if($G23="""",false, if(isna(match(J$2, split($G23:$G383,"", "",False),0)),false,true))"),FALSE)</f>
        <v>0</v>
      </c>
      <c r="K23" s="53" t="b">
        <f ca="1">IFERROR(__xludf.DUMMYFUNCTION("if($G23="""",false, if(isna(match(K$2, split($G23:$G383,"", "",False),0)),false,true))"),FALSE)</f>
        <v>0</v>
      </c>
      <c r="L23" s="53" t="b">
        <f ca="1">IFERROR(__xludf.DUMMYFUNCTION("if($G23="""",false, if(isna(match(L$2, split($G23:$G383,"", "",False),0)),false,true))"),FALSE)</f>
        <v>0</v>
      </c>
      <c r="M23" s="53" t="b">
        <f ca="1">IFERROR(__xludf.DUMMYFUNCTION("if($G23="""",false, if(isna(match(M$2, split($G23:$G383,"", "",False),0)),false,true))"),FALSE)</f>
        <v>0</v>
      </c>
      <c r="N23" s="53" t="b">
        <f ca="1">IFERROR(__xludf.DUMMYFUNCTION("if($G23="""",false, if(isna(match(N$2, split($G23:$G383,"", "",False),0)),false,true))"),FALSE)</f>
        <v>0</v>
      </c>
      <c r="O23" s="53" t="b">
        <f ca="1">IFERROR(__xludf.DUMMYFUNCTION("if($G23="""",false, if(isna(match(O$2, split($G23:$G383,"", "",False),0)),false,true))"),FALSE)</f>
        <v>0</v>
      </c>
      <c r="P23" s="53" t="b">
        <f ca="1">IFERROR(__xludf.DUMMYFUNCTION("if($G23="""",false, if(isna(match(P$2, split($G23:$G383,"", "",False),0)),false,true))"),FALSE)</f>
        <v>0</v>
      </c>
      <c r="Q23" s="53" t="b">
        <f ca="1">IFERROR(__xludf.DUMMYFUNCTION("if($G23="""",false, if(isna(match(Q$2, split($G23:$G383,"", "",False),0)),false,true))"),FALSE)</f>
        <v>0</v>
      </c>
      <c r="R23" s="53" t="b">
        <f ca="1">IFERROR(__xludf.DUMMYFUNCTION("if($G23="""",false, if(isna(match(R$2, split($G23:$G383,"", "",False),0)),false,true))"),FALSE)</f>
        <v>0</v>
      </c>
      <c r="S23" s="53" t="b">
        <f ca="1">IFERROR(__xludf.DUMMYFUNCTION("if($G23="""",false, if(isna(match(S$2, split($G23:$G383,"", "",False),0)),false,true))"),TRUE)</f>
        <v>1</v>
      </c>
      <c r="T23" s="53" t="b">
        <f ca="1">IFERROR(__xludf.DUMMYFUNCTION("if($G23="""",false, if(isna(match(T$2, split($G23:$G383,"", "",False),0)),false,true))"),FALSE)</f>
        <v>0</v>
      </c>
      <c r="U23" s="53" t="b">
        <f ca="1">IFERROR(__xludf.DUMMYFUNCTION("if($G23="""",false, if(isna(match(U$2, split($G23:$G383,"", "",False),0)),false,true))"),FALSE)</f>
        <v>0</v>
      </c>
      <c r="V23" s="53" t="b">
        <f ca="1">IFERROR(__xludf.DUMMYFUNCTION("if($G23="""",false, if(isna(match(V$2, split($G23:$G383,"", "",False),0)),false,true))"),FALSE)</f>
        <v>0</v>
      </c>
      <c r="W23" s="57" t="b">
        <f ca="1">IFERROR(__xludf.DUMMYFUNCTION("if($G23="""",false, if(isna(match(W$2, split($G23:$G383,"", "",False),0)),false,true))"),FALSE)</f>
        <v>0</v>
      </c>
    </row>
    <row r="24" spans="1:23" ht="28">
      <c r="A24" s="47" t="s">
        <v>179</v>
      </c>
      <c r="B24" s="48" t="s">
        <v>62</v>
      </c>
      <c r="C24" s="49" t="s">
        <v>125</v>
      </c>
      <c r="D24" s="50" t="s">
        <v>162</v>
      </c>
      <c r="E24" s="49" t="s">
        <v>163</v>
      </c>
      <c r="F24" s="51" t="s">
        <v>180</v>
      </c>
      <c r="G24" s="59" t="s">
        <v>119</v>
      </c>
      <c r="H24" s="53" t="b">
        <f ca="1">IFERROR(__xludf.DUMMYFUNCTION("if($G24="""",false, if(isna(match(H$2, split($G24:$G383,"", "",False),0)),false,true))"),FALSE)</f>
        <v>0</v>
      </c>
      <c r="I24" s="53" t="b">
        <f ca="1">IFERROR(__xludf.DUMMYFUNCTION("if($G24="""",false, if(isna(match(I$2, split($G24:$G383,"", "",False),0)),false,true))"),FALSE)</f>
        <v>0</v>
      </c>
      <c r="J24" s="53" t="b">
        <f ca="1">IFERROR(__xludf.DUMMYFUNCTION("if($G24="""",false, if(isna(match(J$2, split($G24:$G383,"", "",False),0)),false,true))"),FALSE)</f>
        <v>0</v>
      </c>
      <c r="K24" s="53" t="b">
        <f ca="1">IFERROR(__xludf.DUMMYFUNCTION("if($G24="""",false, if(isna(match(K$2, split($G24:$G383,"", "",False),0)),false,true))"),FALSE)</f>
        <v>0</v>
      </c>
      <c r="L24" s="53" t="b">
        <f ca="1">IFERROR(__xludf.DUMMYFUNCTION("if($G24="""",false, if(isna(match(L$2, split($G24:$G383,"", "",False),0)),false,true))"),FALSE)</f>
        <v>0</v>
      </c>
      <c r="M24" s="53" t="b">
        <f ca="1">IFERROR(__xludf.DUMMYFUNCTION("if($G24="""",false, if(isna(match(M$2, split($G24:$G383,"", "",False),0)),false,true))"),FALSE)</f>
        <v>0</v>
      </c>
      <c r="N24" s="53" t="b">
        <f ca="1">IFERROR(__xludf.DUMMYFUNCTION("if($G24="""",false, if(isna(match(N$2, split($G24:$G383,"", "",False),0)),false,true))"),FALSE)</f>
        <v>0</v>
      </c>
      <c r="O24" s="53" t="b">
        <f ca="1">IFERROR(__xludf.DUMMYFUNCTION("if($G24="""",false, if(isna(match(O$2, split($G24:$G383,"", "",False),0)),false,true))"),FALSE)</f>
        <v>0</v>
      </c>
      <c r="P24" s="53" t="b">
        <f ca="1">IFERROR(__xludf.DUMMYFUNCTION("if($G24="""",false, if(isna(match(P$2, split($G24:$G383,"", "",False),0)),false,true))"),FALSE)</f>
        <v>0</v>
      </c>
      <c r="Q24" s="53" t="b">
        <f ca="1">IFERROR(__xludf.DUMMYFUNCTION("if($G24="""",false, if(isna(match(Q$2, split($G24:$G383,"", "",False),0)),false,true))"),FALSE)</f>
        <v>0</v>
      </c>
      <c r="R24" s="53" t="b">
        <f ca="1">IFERROR(__xludf.DUMMYFUNCTION("if($G24="""",false, if(isna(match(R$2, split($G24:$G383,"", "",False),0)),false,true))"),FALSE)</f>
        <v>0</v>
      </c>
      <c r="S24" s="53" t="b">
        <f ca="1">IFERROR(__xludf.DUMMYFUNCTION("if($G24="""",false, if(isna(match(S$2, split($G24:$G383,"", "",False),0)),false,true))"),TRUE)</f>
        <v>1</v>
      </c>
      <c r="T24" s="53" t="b">
        <f ca="1">IFERROR(__xludf.DUMMYFUNCTION("if($G24="""",false, if(isna(match(T$2, split($G24:$G383,"", "",False),0)),false,true))"),FALSE)</f>
        <v>0</v>
      </c>
      <c r="U24" s="53" t="b">
        <f ca="1">IFERROR(__xludf.DUMMYFUNCTION("if($G24="""",false, if(isna(match(U$2, split($G24:$G383,"", "",False),0)),false,true))"),FALSE)</f>
        <v>0</v>
      </c>
      <c r="V24" s="53" t="b">
        <f ca="1">IFERROR(__xludf.DUMMYFUNCTION("if($G24="""",false, if(isna(match(V$2, split($G24:$G383,"", "",False),0)),false,true))"),FALSE)</f>
        <v>0</v>
      </c>
      <c r="W24" s="57" t="b">
        <f ca="1">IFERROR(__xludf.DUMMYFUNCTION("if($G24="""",false, if(isna(match(W$2, split($G24:$G383,"", "",False),0)),false,true))"),FALSE)</f>
        <v>0</v>
      </c>
    </row>
    <row r="25" spans="1:23" ht="28">
      <c r="A25" s="47" t="s">
        <v>181</v>
      </c>
      <c r="B25" s="48" t="s">
        <v>62</v>
      </c>
      <c r="C25" s="49" t="s">
        <v>125</v>
      </c>
      <c r="D25" s="50" t="s">
        <v>162</v>
      </c>
      <c r="E25" s="49" t="s">
        <v>163</v>
      </c>
      <c r="F25" s="51" t="s">
        <v>182</v>
      </c>
      <c r="G25" s="59" t="s">
        <v>119</v>
      </c>
      <c r="H25" s="53" t="b">
        <f ca="1">IFERROR(__xludf.DUMMYFUNCTION("if($G25="""",false, if(isna(match(H$2, split($G25:$G383,"", "",False),0)),false,true))"),FALSE)</f>
        <v>0</v>
      </c>
      <c r="I25" s="53" t="b">
        <f ca="1">IFERROR(__xludf.DUMMYFUNCTION("if($G25="""",false, if(isna(match(I$2, split($G25:$G383,"", "",False),0)),false,true))"),FALSE)</f>
        <v>0</v>
      </c>
      <c r="J25" s="53" t="b">
        <f ca="1">IFERROR(__xludf.DUMMYFUNCTION("if($G25="""",false, if(isna(match(J$2, split($G25:$G383,"", "",False),0)),false,true))"),FALSE)</f>
        <v>0</v>
      </c>
      <c r="K25" s="53" t="b">
        <f ca="1">IFERROR(__xludf.DUMMYFUNCTION("if($G25="""",false, if(isna(match(K$2, split($G25:$G383,"", "",False),0)),false,true))"),FALSE)</f>
        <v>0</v>
      </c>
      <c r="L25" s="53" t="b">
        <f ca="1">IFERROR(__xludf.DUMMYFUNCTION("if($G25="""",false, if(isna(match(L$2, split($G25:$G383,"", "",False),0)),false,true))"),FALSE)</f>
        <v>0</v>
      </c>
      <c r="M25" s="53" t="b">
        <f ca="1">IFERROR(__xludf.DUMMYFUNCTION("if($G25="""",false, if(isna(match(M$2, split($G25:$G383,"", "",False),0)),false,true))"),FALSE)</f>
        <v>0</v>
      </c>
      <c r="N25" s="53" t="b">
        <f ca="1">IFERROR(__xludf.DUMMYFUNCTION("if($G25="""",false, if(isna(match(N$2, split($G25:$G383,"", "",False),0)),false,true))"),FALSE)</f>
        <v>0</v>
      </c>
      <c r="O25" s="53" t="b">
        <f ca="1">IFERROR(__xludf.DUMMYFUNCTION("if($G25="""",false, if(isna(match(O$2, split($G25:$G383,"", "",False),0)),false,true))"),FALSE)</f>
        <v>0</v>
      </c>
      <c r="P25" s="53" t="b">
        <f ca="1">IFERROR(__xludf.DUMMYFUNCTION("if($G25="""",false, if(isna(match(P$2, split($G25:$G383,"", "",False),0)),false,true))"),FALSE)</f>
        <v>0</v>
      </c>
      <c r="Q25" s="53" t="b">
        <f ca="1">IFERROR(__xludf.DUMMYFUNCTION("if($G25="""",false, if(isna(match(Q$2, split($G25:$G383,"", "",False),0)),false,true))"),FALSE)</f>
        <v>0</v>
      </c>
      <c r="R25" s="53" t="b">
        <f ca="1">IFERROR(__xludf.DUMMYFUNCTION("if($G25="""",false, if(isna(match(R$2, split($G25:$G383,"", "",False),0)),false,true))"),FALSE)</f>
        <v>0</v>
      </c>
      <c r="S25" s="53" t="b">
        <f ca="1">IFERROR(__xludf.DUMMYFUNCTION("if($G25="""",false, if(isna(match(S$2, split($G25:$G383,"", "",False),0)),false,true))"),TRUE)</f>
        <v>1</v>
      </c>
      <c r="T25" s="53" t="b">
        <f ca="1">IFERROR(__xludf.DUMMYFUNCTION("if($G25="""",false, if(isna(match(T$2, split($G25:$G383,"", "",False),0)),false,true))"),FALSE)</f>
        <v>0</v>
      </c>
      <c r="U25" s="53" t="b">
        <f ca="1">IFERROR(__xludf.DUMMYFUNCTION("if($G25="""",false, if(isna(match(U$2, split($G25:$G383,"", "",False),0)),false,true))"),FALSE)</f>
        <v>0</v>
      </c>
      <c r="V25" s="53" t="b">
        <f ca="1">IFERROR(__xludf.DUMMYFUNCTION("if($G25="""",false, if(isna(match(V$2, split($G25:$G383,"", "",False),0)),false,true))"),FALSE)</f>
        <v>0</v>
      </c>
      <c r="W25" s="57" t="b">
        <f ca="1">IFERROR(__xludf.DUMMYFUNCTION("if($G25="""",false, if(isna(match(W$2, split($G25:$G383,"", "",False),0)),false,true))"),FALSE)</f>
        <v>0</v>
      </c>
    </row>
    <row r="26" spans="1:23" ht="28">
      <c r="A26" s="47" t="s">
        <v>183</v>
      </c>
      <c r="B26" s="48" t="s">
        <v>62</v>
      </c>
      <c r="C26" s="49" t="s">
        <v>125</v>
      </c>
      <c r="D26" s="50" t="s">
        <v>162</v>
      </c>
      <c r="E26" s="49" t="s">
        <v>163</v>
      </c>
      <c r="F26" s="51" t="s">
        <v>184</v>
      </c>
      <c r="G26" s="59" t="s">
        <v>119</v>
      </c>
      <c r="H26" s="53" t="b">
        <f ca="1">IFERROR(__xludf.DUMMYFUNCTION("if($G26="""",false, if(isna(match(H$2, split($G26:$G383,"", "",False),0)),false,true))"),FALSE)</f>
        <v>0</v>
      </c>
      <c r="I26" s="53" t="b">
        <f ca="1">IFERROR(__xludf.DUMMYFUNCTION("if($G26="""",false, if(isna(match(I$2, split($G26:$G383,"", "",False),0)),false,true))"),FALSE)</f>
        <v>0</v>
      </c>
      <c r="J26" s="53" t="b">
        <f ca="1">IFERROR(__xludf.DUMMYFUNCTION("if($G26="""",false, if(isna(match(J$2, split($G26:$G383,"", "",False),0)),false,true))"),FALSE)</f>
        <v>0</v>
      </c>
      <c r="K26" s="53" t="b">
        <f ca="1">IFERROR(__xludf.DUMMYFUNCTION("if($G26="""",false, if(isna(match(K$2, split($G26:$G383,"", "",False),0)),false,true))"),FALSE)</f>
        <v>0</v>
      </c>
      <c r="L26" s="53" t="b">
        <f ca="1">IFERROR(__xludf.DUMMYFUNCTION("if($G26="""",false, if(isna(match(L$2, split($G26:$G383,"", "",False),0)),false,true))"),FALSE)</f>
        <v>0</v>
      </c>
      <c r="M26" s="53" t="b">
        <f ca="1">IFERROR(__xludf.DUMMYFUNCTION("if($G26="""",false, if(isna(match(M$2, split($G26:$G383,"", "",False),0)),false,true))"),FALSE)</f>
        <v>0</v>
      </c>
      <c r="N26" s="53" t="b">
        <f ca="1">IFERROR(__xludf.DUMMYFUNCTION("if($G26="""",false, if(isna(match(N$2, split($G26:$G383,"", "",False),0)),false,true))"),FALSE)</f>
        <v>0</v>
      </c>
      <c r="O26" s="53" t="b">
        <f ca="1">IFERROR(__xludf.DUMMYFUNCTION("if($G26="""",false, if(isna(match(O$2, split($G26:$G383,"", "",False),0)),false,true))"),FALSE)</f>
        <v>0</v>
      </c>
      <c r="P26" s="53" t="b">
        <f ca="1">IFERROR(__xludf.DUMMYFUNCTION("if($G26="""",false, if(isna(match(P$2, split($G26:$G383,"", "",False),0)),false,true))"),FALSE)</f>
        <v>0</v>
      </c>
      <c r="Q26" s="53" t="b">
        <f ca="1">IFERROR(__xludf.DUMMYFUNCTION("if($G26="""",false, if(isna(match(Q$2, split($G26:$G383,"", "",False),0)),false,true))"),FALSE)</f>
        <v>0</v>
      </c>
      <c r="R26" s="53" t="b">
        <f ca="1">IFERROR(__xludf.DUMMYFUNCTION("if($G26="""",false, if(isna(match(R$2, split($G26:$G383,"", "",False),0)),false,true))"),FALSE)</f>
        <v>0</v>
      </c>
      <c r="S26" s="53" t="b">
        <f ca="1">IFERROR(__xludf.DUMMYFUNCTION("if($G26="""",false, if(isna(match(S$2, split($G26:$G383,"", "",False),0)),false,true))"),TRUE)</f>
        <v>1</v>
      </c>
      <c r="T26" s="53" t="b">
        <f ca="1">IFERROR(__xludf.DUMMYFUNCTION("if($G26="""",false, if(isna(match(T$2, split($G26:$G383,"", "",False),0)),false,true))"),FALSE)</f>
        <v>0</v>
      </c>
      <c r="U26" s="53" t="b">
        <f ca="1">IFERROR(__xludf.DUMMYFUNCTION("if($G26="""",false, if(isna(match(U$2, split($G26:$G383,"", "",False),0)),false,true))"),FALSE)</f>
        <v>0</v>
      </c>
      <c r="V26" s="53" t="b">
        <f ca="1">IFERROR(__xludf.DUMMYFUNCTION("if($G26="""",false, if(isna(match(V$2, split($G26:$G383,"", "",False),0)),false,true))"),FALSE)</f>
        <v>0</v>
      </c>
      <c r="W26" s="57" t="b">
        <f ca="1">IFERROR(__xludf.DUMMYFUNCTION("if($G26="""",false, if(isna(match(W$2, split($G26:$G383,"", "",False),0)),false,true))"),FALSE)</f>
        <v>0</v>
      </c>
    </row>
    <row r="27" spans="1:23" ht="28">
      <c r="A27" s="47" t="s">
        <v>185</v>
      </c>
      <c r="B27" s="48" t="s">
        <v>62</v>
      </c>
      <c r="C27" s="49" t="s">
        <v>125</v>
      </c>
      <c r="D27" s="50" t="s">
        <v>162</v>
      </c>
      <c r="E27" s="49" t="s">
        <v>163</v>
      </c>
      <c r="F27" s="51" t="s">
        <v>186</v>
      </c>
      <c r="G27" s="59" t="s">
        <v>118</v>
      </c>
      <c r="H27" s="53" t="b">
        <f ca="1">IFERROR(__xludf.DUMMYFUNCTION("if($G27="""",false, if(isna(match(H$2, split($G27:$G383,"", "",False),0)),false,true))"),FALSE)</f>
        <v>0</v>
      </c>
      <c r="I27" s="53" t="b">
        <f ca="1">IFERROR(__xludf.DUMMYFUNCTION("if($G27="""",false, if(isna(match(I$2, split($G27:$G383,"", "",False),0)),false,true))"),FALSE)</f>
        <v>0</v>
      </c>
      <c r="J27" s="53" t="b">
        <f ca="1">IFERROR(__xludf.DUMMYFUNCTION("if($G27="""",false, if(isna(match(J$2, split($G27:$G383,"", "",False),0)),false,true))"),FALSE)</f>
        <v>0</v>
      </c>
      <c r="K27" s="53" t="b">
        <f ca="1">IFERROR(__xludf.DUMMYFUNCTION("if($G27="""",false, if(isna(match(K$2, split($G27:$G383,"", "",False),0)),false,true))"),FALSE)</f>
        <v>0</v>
      </c>
      <c r="L27" s="53" t="b">
        <f ca="1">IFERROR(__xludf.DUMMYFUNCTION("if($G27="""",false, if(isna(match(L$2, split($G27:$G383,"", "",False),0)),false,true))"),FALSE)</f>
        <v>0</v>
      </c>
      <c r="M27" s="53" t="b">
        <f ca="1">IFERROR(__xludf.DUMMYFUNCTION("if($G27="""",false, if(isna(match(M$2, split($G27:$G383,"", "",False),0)),false,true))"),FALSE)</f>
        <v>0</v>
      </c>
      <c r="N27" s="53" t="b">
        <f ca="1">IFERROR(__xludf.DUMMYFUNCTION("if($G27="""",false, if(isna(match(N$2, split($G27:$G383,"", "",False),0)),false,true))"),FALSE)</f>
        <v>0</v>
      </c>
      <c r="O27" s="53" t="b">
        <f ca="1">IFERROR(__xludf.DUMMYFUNCTION("if($G27="""",false, if(isna(match(O$2, split($G27:$G383,"", "",False),0)),false,true))"),FALSE)</f>
        <v>0</v>
      </c>
      <c r="P27" s="53" t="b">
        <f ca="1">IFERROR(__xludf.DUMMYFUNCTION("if($G27="""",false, if(isna(match(P$2, split($G27:$G383,"", "",False),0)),false,true))"),FALSE)</f>
        <v>0</v>
      </c>
      <c r="Q27" s="53" t="b">
        <f ca="1">IFERROR(__xludf.DUMMYFUNCTION("if($G27="""",false, if(isna(match(Q$2, split($G27:$G383,"", "",False),0)),false,true))"),FALSE)</f>
        <v>0</v>
      </c>
      <c r="R27" s="53" t="b">
        <f ca="1">IFERROR(__xludf.DUMMYFUNCTION("if($G27="""",false, if(isna(match(R$2, split($G27:$G383,"", "",False),0)),false,true))"),TRUE)</f>
        <v>1</v>
      </c>
      <c r="S27" s="53" t="b">
        <f ca="1">IFERROR(__xludf.DUMMYFUNCTION("if($G27="""",false, if(isna(match(S$2, split($G27:$G383,"", "",False),0)),false,true))"),FALSE)</f>
        <v>0</v>
      </c>
      <c r="T27" s="53" t="b">
        <f ca="1">IFERROR(__xludf.DUMMYFUNCTION("if($G27="""",false, if(isna(match(T$2, split($G27:$G383,"", "",False),0)),false,true))"),FALSE)</f>
        <v>0</v>
      </c>
      <c r="U27" s="53" t="b">
        <f ca="1">IFERROR(__xludf.DUMMYFUNCTION("if($G27="""",false, if(isna(match(U$2, split($G27:$G383,"", "",False),0)),false,true))"),FALSE)</f>
        <v>0</v>
      </c>
      <c r="V27" s="53" t="b">
        <f ca="1">IFERROR(__xludf.DUMMYFUNCTION("if($G27="""",false, if(isna(match(V$2, split($G27:$G383,"", "",False),0)),false,true))"),FALSE)</f>
        <v>0</v>
      </c>
      <c r="W27" s="57" t="b">
        <f ca="1">IFERROR(__xludf.DUMMYFUNCTION("if($G27="""",false, if(isna(match(W$2, split($G27:$G383,"", "",False),0)),false,true))"),FALSE)</f>
        <v>0</v>
      </c>
    </row>
    <row r="28" spans="1:23" ht="28">
      <c r="A28" s="47" t="s">
        <v>187</v>
      </c>
      <c r="B28" s="48" t="s">
        <v>62</v>
      </c>
      <c r="C28" s="49" t="s">
        <v>125</v>
      </c>
      <c r="D28" s="50" t="s">
        <v>162</v>
      </c>
      <c r="E28" s="49" t="s">
        <v>163</v>
      </c>
      <c r="F28" s="51" t="s">
        <v>188</v>
      </c>
      <c r="G28" s="59" t="s">
        <v>189</v>
      </c>
      <c r="H28" s="53" t="b">
        <f ca="1">IFERROR(__xludf.DUMMYFUNCTION("if($G28="""",false, if(isna(match(H$2, split($G28:$G383,"", "",False),0)),false,true))"),FALSE)</f>
        <v>0</v>
      </c>
      <c r="I28" s="53" t="b">
        <f ca="1">IFERROR(__xludf.DUMMYFUNCTION("if($G28="""",false, if(isna(match(I$2, split($G28:$G383,"", "",False),0)),false,true))"),FALSE)</f>
        <v>0</v>
      </c>
      <c r="J28" s="53" t="b">
        <f ca="1">IFERROR(__xludf.DUMMYFUNCTION("if($G28="""",false, if(isna(match(J$2, split($G28:$G383,"", "",False),0)),false,true))"),FALSE)</f>
        <v>0</v>
      </c>
      <c r="K28" s="53" t="b">
        <f ca="1">IFERROR(__xludf.DUMMYFUNCTION("if($G28="""",false, if(isna(match(K$2, split($G28:$G383,"", "",False),0)),false,true))"),FALSE)</f>
        <v>0</v>
      </c>
      <c r="L28" s="53" t="b">
        <f ca="1">IFERROR(__xludf.DUMMYFUNCTION("if($G28="""",false, if(isna(match(L$2, split($G28:$G383,"", "",False),0)),false,true))"),FALSE)</f>
        <v>0</v>
      </c>
      <c r="M28" s="53" t="b">
        <f ca="1">IFERROR(__xludf.DUMMYFUNCTION("if($G28="""",false, if(isna(match(M$2, split($G28:$G383,"", "",False),0)),false,true))"),FALSE)</f>
        <v>0</v>
      </c>
      <c r="N28" s="53" t="b">
        <f ca="1">IFERROR(__xludf.DUMMYFUNCTION("if($G28="""",false, if(isna(match(N$2, split($G28:$G383,"", "",False),0)),false,true))"),FALSE)</f>
        <v>0</v>
      </c>
      <c r="O28" s="53" t="b">
        <f ca="1">IFERROR(__xludf.DUMMYFUNCTION("if($G28="""",false, if(isna(match(O$2, split($G28:$G383,"", "",False),0)),false,true))"),FALSE)</f>
        <v>0</v>
      </c>
      <c r="P28" s="53" t="b">
        <f ca="1">IFERROR(__xludf.DUMMYFUNCTION("if($G28="""",false, if(isna(match(P$2, split($G28:$G383,"", "",False),0)),false,true))"),TRUE)</f>
        <v>1</v>
      </c>
      <c r="Q28" s="53" t="b">
        <f ca="1">IFERROR(__xludf.DUMMYFUNCTION("if($G28="""",false, if(isna(match(Q$2, split($G28:$G383,"", "",False),0)),false,true))"),FALSE)</f>
        <v>0</v>
      </c>
      <c r="R28" s="53" t="b">
        <f ca="1">IFERROR(__xludf.DUMMYFUNCTION("if($G28="""",false, if(isna(match(R$2, split($G28:$G383,"", "",False),0)),false,true))"),TRUE)</f>
        <v>1</v>
      </c>
      <c r="S28" s="53" t="b">
        <f ca="1">IFERROR(__xludf.DUMMYFUNCTION("if($G28="""",false, if(isna(match(S$2, split($G28:$G383,"", "",False),0)),false,true))"),FALSE)</f>
        <v>0</v>
      </c>
      <c r="T28" s="53" t="b">
        <f ca="1">IFERROR(__xludf.DUMMYFUNCTION("if($G28="""",false, if(isna(match(T$2, split($G28:$G383,"", "",False),0)),false,true))"),FALSE)</f>
        <v>0</v>
      </c>
      <c r="U28" s="53" t="b">
        <f ca="1">IFERROR(__xludf.DUMMYFUNCTION("if($G28="""",false, if(isna(match(U$2, split($G28:$G383,"", "",False),0)),false,true))"),FALSE)</f>
        <v>0</v>
      </c>
      <c r="V28" s="53" t="b">
        <f ca="1">IFERROR(__xludf.DUMMYFUNCTION("if($G28="""",false, if(isna(match(V$2, split($G28:$G383,"", "",False),0)),false,true))"),FALSE)</f>
        <v>0</v>
      </c>
      <c r="W28" s="57" t="b">
        <f ca="1">IFERROR(__xludf.DUMMYFUNCTION("if($G28="""",false, if(isna(match(W$2, split($G28:$G383,"", "",False),0)),false,true))"),FALSE)</f>
        <v>0</v>
      </c>
    </row>
    <row r="29" spans="1:23" ht="70">
      <c r="A29" s="47" t="s">
        <v>190</v>
      </c>
      <c r="B29" s="48" t="s">
        <v>62</v>
      </c>
      <c r="C29" s="49" t="s">
        <v>125</v>
      </c>
      <c r="D29" s="50" t="s">
        <v>162</v>
      </c>
      <c r="E29" s="49" t="s">
        <v>163</v>
      </c>
      <c r="F29" s="51" t="s">
        <v>191</v>
      </c>
      <c r="G29" s="59" t="s">
        <v>192</v>
      </c>
      <c r="H29" s="53" t="b">
        <f ca="1">IFERROR(__xludf.DUMMYFUNCTION("if($G29="""",false, if(isna(match(H$2, split($G29:$G383,"", "",False),0)),false,true))"),FALSE)</f>
        <v>0</v>
      </c>
      <c r="I29" s="53" t="b">
        <f ca="1">IFERROR(__xludf.DUMMYFUNCTION("if($G29="""",false, if(isna(match(I$2, split($G29:$G383,"", "",False),0)),false,true))"),FALSE)</f>
        <v>0</v>
      </c>
      <c r="J29" s="53" t="b">
        <f ca="1">IFERROR(__xludf.DUMMYFUNCTION("if($G29="""",false, if(isna(match(J$2, split($G29:$G383,"", "",False),0)),false,true))"),FALSE)</f>
        <v>0</v>
      </c>
      <c r="K29" s="53" t="b">
        <f ca="1">IFERROR(__xludf.DUMMYFUNCTION("if($G29="""",false, if(isna(match(K$2, split($G29:$G383,"", "",False),0)),false,true))"),FALSE)</f>
        <v>0</v>
      </c>
      <c r="L29" s="53" t="b">
        <f ca="1">IFERROR(__xludf.DUMMYFUNCTION("if($G29="""",false, if(isna(match(L$2, split($G29:$G383,"", "",False),0)),false,true))"),FALSE)</f>
        <v>0</v>
      </c>
      <c r="M29" s="53" t="b">
        <f ca="1">IFERROR(__xludf.DUMMYFUNCTION("if($G29="""",false, if(isna(match(M$2, split($G29:$G383,"", "",False),0)),false,true))"),FALSE)</f>
        <v>0</v>
      </c>
      <c r="N29" s="53" t="b">
        <f ca="1">IFERROR(__xludf.DUMMYFUNCTION("if($G29="""",false, if(isna(match(N$2, split($G29:$G383,"", "",False),0)),false,true))"),FALSE)</f>
        <v>0</v>
      </c>
      <c r="O29" s="53" t="b">
        <f ca="1">IFERROR(__xludf.DUMMYFUNCTION("if($G29="""",false, if(isna(match(O$2, split($G29:$G383,"", "",False),0)),false,true))"),FALSE)</f>
        <v>0</v>
      </c>
      <c r="P29" s="53" t="b">
        <f ca="1">IFERROR(__xludf.DUMMYFUNCTION("if($G29="""",false, if(isna(match(P$2, split($G29:$G383,"", "",False),0)),false,true))"),FALSE)</f>
        <v>0</v>
      </c>
      <c r="Q29" s="53" t="b">
        <f ca="1">IFERROR(__xludf.DUMMYFUNCTION("if($G29="""",false, if(isna(match(Q$2, split($G29:$G383,"", "",False),0)),false,true))"),FALSE)</f>
        <v>0</v>
      </c>
      <c r="R29" s="53" t="b">
        <f ca="1">IFERROR(__xludf.DUMMYFUNCTION("if($G29="""",false, if(isna(match(R$2, split($G29:$G383,"", "",False),0)),false,true))"),TRUE)</f>
        <v>1</v>
      </c>
      <c r="S29" s="53" t="b">
        <f ca="1">IFERROR(__xludf.DUMMYFUNCTION("if($G29="""",false, if(isna(match(S$2, split($G29:$G383,"", "",False),0)),false,true))"),TRUE)</f>
        <v>1</v>
      </c>
      <c r="T29" s="53" t="b">
        <f ca="1">IFERROR(__xludf.DUMMYFUNCTION("if($G29="""",false, if(isna(match(T$2, split($G29:$G383,"", "",False),0)),false,true))"),FALSE)</f>
        <v>0</v>
      </c>
      <c r="U29" s="53" t="b">
        <f ca="1">IFERROR(__xludf.DUMMYFUNCTION("if($G29="""",false, if(isna(match(U$2, split($G29:$G383,"", "",False),0)),false,true))"),FALSE)</f>
        <v>0</v>
      </c>
      <c r="V29" s="53" t="b">
        <f ca="1">IFERROR(__xludf.DUMMYFUNCTION("if($G29="""",false, if(isna(match(V$2, split($G29:$G383,"", "",False),0)),false,true))"),FALSE)</f>
        <v>0</v>
      </c>
      <c r="W29" s="57" t="b">
        <f ca="1">IFERROR(__xludf.DUMMYFUNCTION("if($G29="""",false, if(isna(match(W$2, split($G29:$G383,"", "",False),0)),false,true))"),FALSE)</f>
        <v>0</v>
      </c>
    </row>
    <row r="30" spans="1:23" ht="70">
      <c r="A30" s="47" t="s">
        <v>193</v>
      </c>
      <c r="B30" s="48" t="s">
        <v>62</v>
      </c>
      <c r="C30" s="49" t="s">
        <v>125</v>
      </c>
      <c r="D30" s="50" t="s">
        <v>162</v>
      </c>
      <c r="E30" s="49" t="s">
        <v>163</v>
      </c>
      <c r="F30" s="51" t="s">
        <v>194</v>
      </c>
      <c r="G30" s="59" t="s">
        <v>119</v>
      </c>
      <c r="H30" s="53" t="b">
        <f ca="1">IFERROR(__xludf.DUMMYFUNCTION("if($G30="""",false, if(isna(match(H$2, split($G30:$G383,"", "",False),0)),false,true))"),FALSE)</f>
        <v>0</v>
      </c>
      <c r="I30" s="53" t="b">
        <f ca="1">IFERROR(__xludf.DUMMYFUNCTION("if($G30="""",false, if(isna(match(I$2, split($G30:$G383,"", "",False),0)),false,true))"),FALSE)</f>
        <v>0</v>
      </c>
      <c r="J30" s="53" t="b">
        <f ca="1">IFERROR(__xludf.DUMMYFUNCTION("if($G30="""",false, if(isna(match(J$2, split($G30:$G383,"", "",False),0)),false,true))"),FALSE)</f>
        <v>0</v>
      </c>
      <c r="K30" s="53" t="b">
        <f ca="1">IFERROR(__xludf.DUMMYFUNCTION("if($G30="""",false, if(isna(match(K$2, split($G30:$G383,"", "",False),0)),false,true))"),FALSE)</f>
        <v>0</v>
      </c>
      <c r="L30" s="53" t="b">
        <f ca="1">IFERROR(__xludf.DUMMYFUNCTION("if($G30="""",false, if(isna(match(L$2, split($G30:$G383,"", "",False),0)),false,true))"),FALSE)</f>
        <v>0</v>
      </c>
      <c r="M30" s="53" t="b">
        <f ca="1">IFERROR(__xludf.DUMMYFUNCTION("if($G30="""",false, if(isna(match(M$2, split($G30:$G383,"", "",False),0)),false,true))"),FALSE)</f>
        <v>0</v>
      </c>
      <c r="N30" s="53" t="b">
        <f ca="1">IFERROR(__xludf.DUMMYFUNCTION("if($G30="""",false, if(isna(match(N$2, split($G30:$G383,"", "",False),0)),false,true))"),FALSE)</f>
        <v>0</v>
      </c>
      <c r="O30" s="53" t="b">
        <f ca="1">IFERROR(__xludf.DUMMYFUNCTION("if($G30="""",false, if(isna(match(O$2, split($G30:$G383,"", "",False),0)),false,true))"),FALSE)</f>
        <v>0</v>
      </c>
      <c r="P30" s="53" t="b">
        <f ca="1">IFERROR(__xludf.DUMMYFUNCTION("if($G30="""",false, if(isna(match(P$2, split($G30:$G383,"", "",False),0)),false,true))"),FALSE)</f>
        <v>0</v>
      </c>
      <c r="Q30" s="53" t="b">
        <f ca="1">IFERROR(__xludf.DUMMYFUNCTION("if($G30="""",false, if(isna(match(Q$2, split($G30:$G383,"", "",False),0)),false,true))"),FALSE)</f>
        <v>0</v>
      </c>
      <c r="R30" s="53" t="b">
        <f ca="1">IFERROR(__xludf.DUMMYFUNCTION("if($G30="""",false, if(isna(match(R$2, split($G30:$G383,"", "",False),0)),false,true))"),FALSE)</f>
        <v>0</v>
      </c>
      <c r="S30" s="53" t="b">
        <f ca="1">IFERROR(__xludf.DUMMYFUNCTION("if($G30="""",false, if(isna(match(S$2, split($G30:$G383,"", "",False),0)),false,true))"),TRUE)</f>
        <v>1</v>
      </c>
      <c r="T30" s="53" t="b">
        <f ca="1">IFERROR(__xludf.DUMMYFUNCTION("if($G30="""",false, if(isna(match(T$2, split($G30:$G383,"", "",False),0)),false,true))"),FALSE)</f>
        <v>0</v>
      </c>
      <c r="U30" s="53" t="b">
        <f ca="1">IFERROR(__xludf.DUMMYFUNCTION("if($G30="""",false, if(isna(match(U$2, split($G30:$G383,"", "",False),0)),false,true))"),FALSE)</f>
        <v>0</v>
      </c>
      <c r="V30" s="53" t="b">
        <f ca="1">IFERROR(__xludf.DUMMYFUNCTION("if($G30="""",false, if(isna(match(V$2, split($G30:$G383,"", "",False),0)),false,true))"),FALSE)</f>
        <v>0</v>
      </c>
      <c r="W30" s="57" t="b">
        <f ca="1">IFERROR(__xludf.DUMMYFUNCTION("if($G30="""",false, if(isna(match(W$2, split($G30:$G383,"", "",False),0)),false,true))"),FALSE)</f>
        <v>0</v>
      </c>
    </row>
    <row r="31" spans="1:23" ht="28">
      <c r="A31" s="47" t="s">
        <v>195</v>
      </c>
      <c r="B31" s="48" t="s">
        <v>62</v>
      </c>
      <c r="C31" s="49" t="s">
        <v>125</v>
      </c>
      <c r="D31" s="50" t="s">
        <v>162</v>
      </c>
      <c r="E31" s="49" t="s">
        <v>163</v>
      </c>
      <c r="F31" s="51" t="s">
        <v>196</v>
      </c>
      <c r="G31" s="59" t="s">
        <v>197</v>
      </c>
      <c r="H31" s="53" t="b">
        <f ca="1">IFERROR(__xludf.DUMMYFUNCTION("if($G31="""",false, if(isna(match(H$2, split($G31:$G383,"", "",False),0)),false,true))"),FALSE)</f>
        <v>0</v>
      </c>
      <c r="I31" s="53" t="b">
        <f ca="1">IFERROR(__xludf.DUMMYFUNCTION("if($G31="""",false, if(isna(match(I$2, split($G31:$G383,"", "",False),0)),false,true))"),FALSE)</f>
        <v>0</v>
      </c>
      <c r="J31" s="53" t="b">
        <f ca="1">IFERROR(__xludf.DUMMYFUNCTION("if($G31="""",false, if(isna(match(J$2, split($G31:$G383,"", "",False),0)),false,true))"),FALSE)</f>
        <v>0</v>
      </c>
      <c r="K31" s="53" t="b">
        <f ca="1">IFERROR(__xludf.DUMMYFUNCTION("if($G31="""",false, if(isna(match(K$2, split($G31:$G383,"", "",False),0)),false,true))"),FALSE)</f>
        <v>0</v>
      </c>
      <c r="L31" s="53" t="b">
        <f ca="1">IFERROR(__xludf.DUMMYFUNCTION("if($G31="""",false, if(isna(match(L$2, split($G31:$G383,"", "",False),0)),false,true))"),FALSE)</f>
        <v>0</v>
      </c>
      <c r="M31" s="53" t="b">
        <f ca="1">IFERROR(__xludf.DUMMYFUNCTION("if($G31="""",false, if(isna(match(M$2, split($G31:$G383,"", "",False),0)),false,true))"),FALSE)</f>
        <v>0</v>
      </c>
      <c r="N31" s="53" t="b">
        <f ca="1">IFERROR(__xludf.DUMMYFUNCTION("if($G31="""",false, if(isna(match(N$2, split($G31:$G383,"", "",False),0)),false,true))"),FALSE)</f>
        <v>0</v>
      </c>
      <c r="O31" s="53" t="b">
        <f ca="1">IFERROR(__xludf.DUMMYFUNCTION("if($G31="""",false, if(isna(match(O$2, split($G31:$G383,"", "",False),0)),false,true))"),FALSE)</f>
        <v>0</v>
      </c>
      <c r="P31" s="53" t="b">
        <f ca="1">IFERROR(__xludf.DUMMYFUNCTION("if($G31="""",false, if(isna(match(P$2, split($G31:$G383,"", "",False),0)),false,true))"),FALSE)</f>
        <v>0</v>
      </c>
      <c r="Q31" s="53" t="b">
        <f ca="1">IFERROR(__xludf.DUMMYFUNCTION("if($G31="""",false, if(isna(match(Q$2, split($G31:$G383,"", "",False),0)),false,true))"),FALSE)</f>
        <v>0</v>
      </c>
      <c r="R31" s="53" t="b">
        <f ca="1">IFERROR(__xludf.DUMMYFUNCTION("if($G31="""",false, if(isna(match(R$2, split($G31:$G383,"", "",False),0)),false,true))"),FALSE)</f>
        <v>0</v>
      </c>
      <c r="S31" s="53" t="b">
        <f ca="1">IFERROR(__xludf.DUMMYFUNCTION("if($G31="""",false, if(isna(match(S$2, split($G31:$G383,"", "",False),0)),false,true))"),FALSE)</f>
        <v>0</v>
      </c>
      <c r="T31" s="53" t="b">
        <f ca="1">IFERROR(__xludf.DUMMYFUNCTION("if($G31="""",false, if(isna(match(T$2, split($G31:$G383,"", "",False),0)),false,true))"),FALSE)</f>
        <v>0</v>
      </c>
      <c r="U31" s="53" t="b">
        <f ca="1">IFERROR(__xludf.DUMMYFUNCTION("if($G31="""",false, if(isna(match(U$2, split($G31:$G383,"", "",False),0)),false,true))"),FALSE)</f>
        <v>0</v>
      </c>
      <c r="V31" s="53" t="b">
        <f ca="1">IFERROR(__xludf.DUMMYFUNCTION("if($G31="""",false, if(isna(match(V$2, split($G31:$G383,"", "",False),0)),false,true))"),FALSE)</f>
        <v>0</v>
      </c>
      <c r="W31" s="57" t="b">
        <f ca="1">IFERROR(__xludf.DUMMYFUNCTION("if($G31="""",false, if(isna(match(W$2, split($G31:$G383,"", "",False),0)),false,true))"),FALSE)</f>
        <v>0</v>
      </c>
    </row>
    <row r="32" spans="1:23" ht="56">
      <c r="A32" s="47" t="s">
        <v>198</v>
      </c>
      <c r="B32" s="48" t="s">
        <v>62</v>
      </c>
      <c r="C32" s="49" t="s">
        <v>125</v>
      </c>
      <c r="D32" s="50" t="s">
        <v>162</v>
      </c>
      <c r="E32" s="49" t="s">
        <v>163</v>
      </c>
      <c r="F32" s="51" t="s">
        <v>199</v>
      </c>
      <c r="G32" s="59" t="s">
        <v>116</v>
      </c>
      <c r="H32" s="53" t="b">
        <f ca="1">IFERROR(__xludf.DUMMYFUNCTION("if($G32="""",false, if(isna(match(H$2, split($G32:$G383,"", "",False),0)),false,true))"),FALSE)</f>
        <v>0</v>
      </c>
      <c r="I32" s="53" t="b">
        <f ca="1">IFERROR(__xludf.DUMMYFUNCTION("if($G32="""",false, if(isna(match(I$2, split($G32:$G383,"", "",False),0)),false,true))"),FALSE)</f>
        <v>0</v>
      </c>
      <c r="J32" s="53" t="b">
        <f ca="1">IFERROR(__xludf.DUMMYFUNCTION("if($G32="""",false, if(isna(match(J$2, split($G32:$G383,"", "",False),0)),false,true))"),FALSE)</f>
        <v>0</v>
      </c>
      <c r="K32" s="53" t="b">
        <f ca="1">IFERROR(__xludf.DUMMYFUNCTION("if($G32="""",false, if(isna(match(K$2, split($G32:$G383,"", "",False),0)),false,true))"),FALSE)</f>
        <v>0</v>
      </c>
      <c r="L32" s="53" t="b">
        <f ca="1">IFERROR(__xludf.DUMMYFUNCTION("if($G32="""",false, if(isna(match(L$2, split($G32:$G383,"", "",False),0)),false,true))"),FALSE)</f>
        <v>0</v>
      </c>
      <c r="M32" s="53" t="b">
        <f ca="1">IFERROR(__xludf.DUMMYFUNCTION("if($G32="""",false, if(isna(match(M$2, split($G32:$G383,"", "",False),0)),false,true))"),FALSE)</f>
        <v>0</v>
      </c>
      <c r="N32" s="53" t="b">
        <f ca="1">IFERROR(__xludf.DUMMYFUNCTION("if($G32="""",false, if(isna(match(N$2, split($G32:$G383,"", "",False),0)),false,true))"),FALSE)</f>
        <v>0</v>
      </c>
      <c r="O32" s="53" t="b">
        <f ca="1">IFERROR(__xludf.DUMMYFUNCTION("if($G32="""",false, if(isna(match(O$2, split($G32:$G383,"", "",False),0)),false,true))"),FALSE)</f>
        <v>0</v>
      </c>
      <c r="P32" s="53" t="b">
        <f ca="1">IFERROR(__xludf.DUMMYFUNCTION("if($G32="""",false, if(isna(match(P$2, split($G32:$G383,"", "",False),0)),false,true))"),TRUE)</f>
        <v>1</v>
      </c>
      <c r="Q32" s="53" t="b">
        <f ca="1">IFERROR(__xludf.DUMMYFUNCTION("if($G32="""",false, if(isna(match(Q$2, split($G32:$G383,"", "",False),0)),false,true))"),FALSE)</f>
        <v>0</v>
      </c>
      <c r="R32" s="53" t="b">
        <f ca="1">IFERROR(__xludf.DUMMYFUNCTION("if($G32="""",false, if(isna(match(R$2, split($G32:$G383,"", "",False),0)),false,true))"),FALSE)</f>
        <v>0</v>
      </c>
      <c r="S32" s="53" t="b">
        <f ca="1">IFERROR(__xludf.DUMMYFUNCTION("if($G32="""",false, if(isna(match(S$2, split($G32:$G383,"", "",False),0)),false,true))"),FALSE)</f>
        <v>0</v>
      </c>
      <c r="T32" s="53" t="b">
        <f ca="1">IFERROR(__xludf.DUMMYFUNCTION("if($G32="""",false, if(isna(match(T$2, split($G32:$G383,"", "",False),0)),false,true))"),FALSE)</f>
        <v>0</v>
      </c>
      <c r="U32" s="53" t="b">
        <f ca="1">IFERROR(__xludf.DUMMYFUNCTION("if($G32="""",false, if(isna(match(U$2, split($G32:$G383,"", "",False),0)),false,true))"),FALSE)</f>
        <v>0</v>
      </c>
      <c r="V32" s="53" t="b">
        <f ca="1">IFERROR(__xludf.DUMMYFUNCTION("if($G32="""",false, if(isna(match(V$2, split($G32:$G383,"", "",False),0)),false,true))"),FALSE)</f>
        <v>0</v>
      </c>
      <c r="W32" s="57" t="b">
        <f ca="1">IFERROR(__xludf.DUMMYFUNCTION("if($G32="""",false, if(isna(match(W$2, split($G32:$G383,"", "",False),0)),false,true))"),FALSE)</f>
        <v>0</v>
      </c>
    </row>
    <row r="33" spans="1:23" ht="28">
      <c r="A33" s="47" t="s">
        <v>200</v>
      </c>
      <c r="B33" s="48" t="s">
        <v>62</v>
      </c>
      <c r="C33" s="49" t="s">
        <v>125</v>
      </c>
      <c r="D33" s="50" t="s">
        <v>162</v>
      </c>
      <c r="E33" s="49" t="s">
        <v>163</v>
      </c>
      <c r="F33" s="51" t="s">
        <v>201</v>
      </c>
      <c r="G33" s="59" t="s">
        <v>202</v>
      </c>
      <c r="H33" s="53" t="b">
        <f ca="1">IFERROR(__xludf.DUMMYFUNCTION("if($G33="""",false, if(isna(match(H$2, split($G33:$G383,"", "",False),0)),false,true))"),TRUE)</f>
        <v>1</v>
      </c>
      <c r="I33" s="53" t="b">
        <f ca="1">IFERROR(__xludf.DUMMYFUNCTION("if($G33="""",false, if(isna(match(I$2, split($G33:$G383,"", "",False),0)),false,true))"),FALSE)</f>
        <v>0</v>
      </c>
      <c r="J33" s="53" t="b">
        <f ca="1">IFERROR(__xludf.DUMMYFUNCTION("if($G33="""",false, if(isna(match(J$2, split($G33:$G383,"", "",False),0)),false,true))"),FALSE)</f>
        <v>0</v>
      </c>
      <c r="K33" s="53" t="b">
        <f ca="1">IFERROR(__xludf.DUMMYFUNCTION("if($G33="""",false, if(isna(match(K$2, split($G33:$G383,"", "",False),0)),false,true))"),TRUE)</f>
        <v>1</v>
      </c>
      <c r="L33" s="53" t="b">
        <f ca="1">IFERROR(__xludf.DUMMYFUNCTION("if($G33="""",false, if(isna(match(L$2, split($G33:$G383,"", "",False),0)),false,true))"),FALSE)</f>
        <v>0</v>
      </c>
      <c r="M33" s="53" t="b">
        <f ca="1">IFERROR(__xludf.DUMMYFUNCTION("if($G33="""",false, if(isna(match(M$2, split($G33:$G383,"", "",False),0)),false,true))"),FALSE)</f>
        <v>0</v>
      </c>
      <c r="N33" s="53" t="b">
        <f ca="1">IFERROR(__xludf.DUMMYFUNCTION("if($G33="""",false, if(isna(match(N$2, split($G33:$G383,"", "",False),0)),false,true))"),FALSE)</f>
        <v>0</v>
      </c>
      <c r="O33" s="53" t="b">
        <f ca="1">IFERROR(__xludf.DUMMYFUNCTION("if($G33="""",false, if(isna(match(O$2, split($G33:$G383,"", "",False),0)),false,true))"),FALSE)</f>
        <v>0</v>
      </c>
      <c r="P33" s="53" t="b">
        <f ca="1">IFERROR(__xludf.DUMMYFUNCTION("if($G33="""",false, if(isna(match(P$2, split($G33:$G383,"", "",False),0)),false,true))"),TRUE)</f>
        <v>1</v>
      </c>
      <c r="Q33" s="53" t="b">
        <f ca="1">IFERROR(__xludf.DUMMYFUNCTION("if($G33="""",false, if(isna(match(Q$2, split($G33:$G383,"", "",False),0)),false,true))"),FALSE)</f>
        <v>0</v>
      </c>
      <c r="R33" s="53" t="b">
        <f ca="1">IFERROR(__xludf.DUMMYFUNCTION("if($G33="""",false, if(isna(match(R$2, split($G33:$G383,"", "",False),0)),false,true))"),TRUE)</f>
        <v>1</v>
      </c>
      <c r="S33" s="53" t="b">
        <f ca="1">IFERROR(__xludf.DUMMYFUNCTION("if($G33="""",false, if(isna(match(S$2, split($G33:$G383,"", "",False),0)),false,true))"),FALSE)</f>
        <v>0</v>
      </c>
      <c r="T33" s="53" t="b">
        <f ca="1">IFERROR(__xludf.DUMMYFUNCTION("if($G33="""",false, if(isna(match(T$2, split($G33:$G383,"", "",False),0)),false,true))"),FALSE)</f>
        <v>0</v>
      </c>
      <c r="U33" s="53" t="b">
        <f ca="1">IFERROR(__xludf.DUMMYFUNCTION("if($G33="""",false, if(isna(match(U$2, split($G33:$G383,"", "",False),0)),false,true))"),FALSE)</f>
        <v>0</v>
      </c>
      <c r="V33" s="53" t="b">
        <f ca="1">IFERROR(__xludf.DUMMYFUNCTION("if($G33="""",false, if(isna(match(V$2, split($G33:$G383,"", "",False),0)),false,true))"),FALSE)</f>
        <v>0</v>
      </c>
      <c r="W33" s="57" t="b">
        <f ca="1">IFERROR(__xludf.DUMMYFUNCTION("if($G33="""",false, if(isna(match(W$2, split($G33:$G383,"", "",False),0)),false,true))"),FALSE)</f>
        <v>0</v>
      </c>
    </row>
    <row r="34" spans="1:23" ht="126">
      <c r="A34" s="47" t="s">
        <v>203</v>
      </c>
      <c r="B34" s="48" t="s">
        <v>62</v>
      </c>
      <c r="C34" s="49" t="s">
        <v>125</v>
      </c>
      <c r="D34" s="50" t="s">
        <v>162</v>
      </c>
      <c r="E34" s="49" t="s">
        <v>204</v>
      </c>
      <c r="F34" s="51" t="s">
        <v>205</v>
      </c>
      <c r="G34" s="59" t="s">
        <v>206</v>
      </c>
      <c r="H34" s="53" t="b">
        <f ca="1">IFERROR(__xludf.DUMMYFUNCTION("if($G34="""",false, if(isna(match(H$2, split($G34:$G383,"", "",False),0)),false,true))"),FALSE)</f>
        <v>0</v>
      </c>
      <c r="I34" s="53" t="b">
        <f ca="1">IFERROR(__xludf.DUMMYFUNCTION("if($G34="""",false, if(isna(match(I$2, split($G34:$G383,"", "",False),0)),false,true))"),FALSE)</f>
        <v>0</v>
      </c>
      <c r="J34" s="53" t="b">
        <f ca="1">IFERROR(__xludf.DUMMYFUNCTION("if($G34="""",false, if(isna(match(J$2, split($G34:$G383,"", "",False),0)),false,true))"),FALSE)</f>
        <v>0</v>
      </c>
      <c r="K34" s="53" t="b">
        <f ca="1">IFERROR(__xludf.DUMMYFUNCTION("if($G34="""",false, if(isna(match(K$2, split($G34:$G383,"", "",False),0)),false,true))"),FALSE)</f>
        <v>0</v>
      </c>
      <c r="L34" s="53" t="b">
        <f ca="1">IFERROR(__xludf.DUMMYFUNCTION("if($G34="""",false, if(isna(match(L$2, split($G34:$G383,"", "",False),0)),false,true))"),FALSE)</f>
        <v>0</v>
      </c>
      <c r="M34" s="53" t="b">
        <f ca="1">IFERROR(__xludf.DUMMYFUNCTION("if($G34="""",false, if(isna(match(M$2, split($G34:$G383,"", "",False),0)),false,true))"),FALSE)</f>
        <v>0</v>
      </c>
      <c r="N34" s="53" t="b">
        <f ca="1">IFERROR(__xludf.DUMMYFUNCTION("if($G34="""",false, if(isna(match(N$2, split($G34:$G383,"", "",False),0)),false,true))"),FALSE)</f>
        <v>0</v>
      </c>
      <c r="O34" s="53" t="b">
        <f ca="1">IFERROR(__xludf.DUMMYFUNCTION("if($G34="""",false, if(isna(match(O$2, split($G34:$G383,"", "",False),0)),false,true))"),FALSE)</f>
        <v>0</v>
      </c>
      <c r="P34" s="53" t="b">
        <f ca="1">IFERROR(__xludf.DUMMYFUNCTION("if($G34="""",false, if(isna(match(P$2, split($G34:$G383,"", "",False),0)),false,true))"),TRUE)</f>
        <v>1</v>
      </c>
      <c r="Q34" s="53" t="b">
        <f ca="1">IFERROR(__xludf.DUMMYFUNCTION("if($G34="""",false, if(isna(match(Q$2, split($G34:$G383,"", "",False),0)),false,true))"),TRUE)</f>
        <v>1</v>
      </c>
      <c r="R34" s="53" t="b">
        <f ca="1">IFERROR(__xludf.DUMMYFUNCTION("if($G34="""",false, if(isna(match(R$2, split($G34:$G383,"", "",False),0)),false,true))"),TRUE)</f>
        <v>1</v>
      </c>
      <c r="S34" s="53" t="b">
        <f ca="1">IFERROR(__xludf.DUMMYFUNCTION("if($G34="""",false, if(isna(match(S$2, split($G34:$G383,"", "",False),0)),false,true))"),TRUE)</f>
        <v>1</v>
      </c>
      <c r="T34" s="53" t="b">
        <f ca="1">IFERROR(__xludf.DUMMYFUNCTION("if($G34="""",false, if(isna(match(T$2, split($G34:$G383,"", "",False),0)),false,true))"),FALSE)</f>
        <v>0</v>
      </c>
      <c r="U34" s="53" t="b">
        <f ca="1">IFERROR(__xludf.DUMMYFUNCTION("if($G34="""",false, if(isna(match(U$2, split($G34:$G383,"", "",False),0)),false,true))"),FALSE)</f>
        <v>0</v>
      </c>
      <c r="V34" s="53" t="b">
        <f ca="1">IFERROR(__xludf.DUMMYFUNCTION("if($G34="""",false, if(isna(match(V$2, split($G34:$G383,"", "",False),0)),false,true))"),FALSE)</f>
        <v>0</v>
      </c>
      <c r="W34" s="57" t="b">
        <f ca="1">IFERROR(__xludf.DUMMYFUNCTION("if($G34="""",false, if(isna(match(W$2, split($G34:$G383,"", "",False),0)),false,true))"),FALSE)</f>
        <v>0</v>
      </c>
    </row>
    <row r="35" spans="1:23" ht="56">
      <c r="A35" s="47" t="s">
        <v>207</v>
      </c>
      <c r="B35" s="48" t="s">
        <v>62</v>
      </c>
      <c r="C35" s="49" t="s">
        <v>125</v>
      </c>
      <c r="D35" s="50" t="s">
        <v>162</v>
      </c>
      <c r="E35" s="49" t="s">
        <v>204</v>
      </c>
      <c r="F35" s="51" t="s">
        <v>208</v>
      </c>
      <c r="G35" s="59" t="s">
        <v>209</v>
      </c>
      <c r="H35" s="53" t="b">
        <f ca="1">IFERROR(__xludf.DUMMYFUNCTION("if($G35="""",false, if(isna(match(H$2, split($G35:$G383,"", "",False),0)),false,true))"),FALSE)</f>
        <v>0</v>
      </c>
      <c r="I35" s="53" t="b">
        <f ca="1">IFERROR(__xludf.DUMMYFUNCTION("if($G35="""",false, if(isna(match(I$2, split($G35:$G383,"", "",False),0)),false,true))"),FALSE)</f>
        <v>0</v>
      </c>
      <c r="J35" s="53" t="b">
        <f ca="1">IFERROR(__xludf.DUMMYFUNCTION("if($G35="""",false, if(isna(match(J$2, split($G35:$G383,"", "",False),0)),false,true))"),FALSE)</f>
        <v>0</v>
      </c>
      <c r="K35" s="53" t="b">
        <f ca="1">IFERROR(__xludf.DUMMYFUNCTION("if($G35="""",false, if(isna(match(K$2, split($G35:$G383,"", "",False),0)),false,true))"),FALSE)</f>
        <v>0</v>
      </c>
      <c r="L35" s="53" t="b">
        <f ca="1">IFERROR(__xludf.DUMMYFUNCTION("if($G35="""",false, if(isna(match(L$2, split($G35:$G383,"", "",False),0)),false,true))"),FALSE)</f>
        <v>0</v>
      </c>
      <c r="M35" s="53" t="b">
        <f ca="1">IFERROR(__xludf.DUMMYFUNCTION("if($G35="""",false, if(isna(match(M$2, split($G35:$G383,"", "",False),0)),false,true))"),FALSE)</f>
        <v>0</v>
      </c>
      <c r="N35" s="53" t="b">
        <f ca="1">IFERROR(__xludf.DUMMYFUNCTION("if($G35="""",false, if(isna(match(N$2, split($G35:$G383,"", "",False),0)),false,true))"),FALSE)</f>
        <v>0</v>
      </c>
      <c r="O35" s="53" t="b">
        <f ca="1">IFERROR(__xludf.DUMMYFUNCTION("if($G35="""",false, if(isna(match(O$2, split($G35:$G383,"", "",False),0)),false,true))"),FALSE)</f>
        <v>0</v>
      </c>
      <c r="P35" s="53" t="b">
        <f ca="1">IFERROR(__xludf.DUMMYFUNCTION("if($G35="""",false, if(isna(match(P$2, split($G35:$G383,"", "",False),0)),false,true))"),FALSE)</f>
        <v>0</v>
      </c>
      <c r="Q35" s="53" t="b">
        <f ca="1">IFERROR(__xludf.DUMMYFUNCTION("if($G35="""",false, if(isna(match(Q$2, split($G35:$G383,"", "",False),0)),false,true))"),FALSE)</f>
        <v>0</v>
      </c>
      <c r="R35" s="53" t="b">
        <f ca="1">IFERROR(__xludf.DUMMYFUNCTION("if($G35="""",false, if(isna(match(R$2, split($G35:$G383,"", "",False),0)),false,true))"),TRUE)</f>
        <v>1</v>
      </c>
      <c r="S35" s="53" t="b">
        <f ca="1">IFERROR(__xludf.DUMMYFUNCTION("if($G35="""",false, if(isna(match(S$2, split($G35:$G383,"", "",False),0)),false,true))"),FALSE)</f>
        <v>0</v>
      </c>
      <c r="T35" s="53" t="b">
        <f ca="1">IFERROR(__xludf.DUMMYFUNCTION("if($G35="""",false, if(isna(match(T$2, split($G35:$G383,"", "",False),0)),false,true))"),FALSE)</f>
        <v>0</v>
      </c>
      <c r="U35" s="53" t="b">
        <f ca="1">IFERROR(__xludf.DUMMYFUNCTION("if($G35="""",false, if(isna(match(U$2, split($G35:$G383,"", "",False),0)),false,true))"),FALSE)</f>
        <v>0</v>
      </c>
      <c r="V35" s="53" t="b">
        <f ca="1">IFERROR(__xludf.DUMMYFUNCTION("if($G35="""",false, if(isna(match(V$2, split($G35:$G383,"", "",False),0)),false,true))"),FALSE)</f>
        <v>0</v>
      </c>
      <c r="W35" s="57" t="b">
        <f ca="1">IFERROR(__xludf.DUMMYFUNCTION("if($G35="""",false, if(isna(match(W$2, split($G35:$G383,"", "",False),0)),false,true))"),FALSE)</f>
        <v>0</v>
      </c>
    </row>
    <row r="36" spans="1:23" ht="28">
      <c r="A36" s="47" t="s">
        <v>210</v>
      </c>
      <c r="B36" s="48" t="s">
        <v>62</v>
      </c>
      <c r="C36" s="49" t="s">
        <v>125</v>
      </c>
      <c r="D36" s="50" t="s">
        <v>162</v>
      </c>
      <c r="E36" s="49" t="s">
        <v>204</v>
      </c>
      <c r="F36" s="51" t="s">
        <v>211</v>
      </c>
      <c r="G36" s="59" t="s">
        <v>117</v>
      </c>
      <c r="H36" s="53" t="b">
        <f ca="1">IFERROR(__xludf.DUMMYFUNCTION("if($G36="""",false, if(isna(match(H$2, split($G36:$G383,"", "",False),0)),false,true))"),FALSE)</f>
        <v>0</v>
      </c>
      <c r="I36" s="53" t="b">
        <f ca="1">IFERROR(__xludf.DUMMYFUNCTION("if($G36="""",false, if(isna(match(I$2, split($G36:$G383,"", "",False),0)),false,true))"),FALSE)</f>
        <v>0</v>
      </c>
      <c r="J36" s="53" t="b">
        <f ca="1">IFERROR(__xludf.DUMMYFUNCTION("if($G36="""",false, if(isna(match(J$2, split($G36:$G383,"", "",False),0)),false,true))"),FALSE)</f>
        <v>0</v>
      </c>
      <c r="K36" s="53" t="b">
        <f ca="1">IFERROR(__xludf.DUMMYFUNCTION("if($G36="""",false, if(isna(match(K$2, split($G36:$G383,"", "",False),0)),false,true))"),FALSE)</f>
        <v>0</v>
      </c>
      <c r="L36" s="53" t="b">
        <f ca="1">IFERROR(__xludf.DUMMYFUNCTION("if($G36="""",false, if(isna(match(L$2, split($G36:$G383,"", "",False),0)),false,true))"),FALSE)</f>
        <v>0</v>
      </c>
      <c r="M36" s="53" t="b">
        <f ca="1">IFERROR(__xludf.DUMMYFUNCTION("if($G36="""",false, if(isna(match(M$2, split($G36:$G383,"", "",False),0)),false,true))"),FALSE)</f>
        <v>0</v>
      </c>
      <c r="N36" s="53" t="b">
        <f ca="1">IFERROR(__xludf.DUMMYFUNCTION("if($G36="""",false, if(isna(match(N$2, split($G36:$G383,"", "",False),0)),false,true))"),FALSE)</f>
        <v>0</v>
      </c>
      <c r="O36" s="53" t="b">
        <f ca="1">IFERROR(__xludf.DUMMYFUNCTION("if($G36="""",false, if(isna(match(O$2, split($G36:$G383,"", "",False),0)),false,true))"),FALSE)</f>
        <v>0</v>
      </c>
      <c r="P36" s="53" t="b">
        <f ca="1">IFERROR(__xludf.DUMMYFUNCTION("if($G36="""",false, if(isna(match(P$2, split($G36:$G383,"", "",False),0)),false,true))"),FALSE)</f>
        <v>0</v>
      </c>
      <c r="Q36" s="53" t="b">
        <f ca="1">IFERROR(__xludf.DUMMYFUNCTION("if($G36="""",false, if(isna(match(Q$2, split($G36:$G383,"", "",False),0)),false,true))"),TRUE)</f>
        <v>1</v>
      </c>
      <c r="R36" s="53" t="b">
        <f ca="1">IFERROR(__xludf.DUMMYFUNCTION("if($G36="""",false, if(isna(match(R$2, split($G36:$G383,"", "",False),0)),false,true))"),FALSE)</f>
        <v>0</v>
      </c>
      <c r="S36" s="53" t="b">
        <f ca="1">IFERROR(__xludf.DUMMYFUNCTION("if($G36="""",false, if(isna(match(S$2, split($G36:$G383,"", "",False),0)),false,true))"),FALSE)</f>
        <v>0</v>
      </c>
      <c r="T36" s="53" t="b">
        <f ca="1">IFERROR(__xludf.DUMMYFUNCTION("if($G36="""",false, if(isna(match(T$2, split($G36:$G383,"", "",False),0)),false,true))"),FALSE)</f>
        <v>0</v>
      </c>
      <c r="U36" s="53" t="b">
        <f ca="1">IFERROR(__xludf.DUMMYFUNCTION("if($G36="""",false, if(isna(match(U$2, split($G36:$G383,"", "",False),0)),false,true))"),FALSE)</f>
        <v>0</v>
      </c>
      <c r="V36" s="53" t="b">
        <f ca="1">IFERROR(__xludf.DUMMYFUNCTION("if($G36="""",false, if(isna(match(V$2, split($G36:$G383,"", "",False),0)),false,true))"),FALSE)</f>
        <v>0</v>
      </c>
      <c r="W36" s="57" t="b">
        <f ca="1">IFERROR(__xludf.DUMMYFUNCTION("if($G36="""",false, if(isna(match(W$2, split($G36:$G383,"", "",False),0)),false,true))"),FALSE)</f>
        <v>0</v>
      </c>
    </row>
    <row r="37" spans="1:23" ht="28">
      <c r="A37" s="47" t="s">
        <v>212</v>
      </c>
      <c r="B37" s="48" t="s">
        <v>62</v>
      </c>
      <c r="C37" s="49" t="s">
        <v>125</v>
      </c>
      <c r="D37" s="50" t="s">
        <v>162</v>
      </c>
      <c r="E37" s="49" t="s">
        <v>204</v>
      </c>
      <c r="F37" s="51" t="s">
        <v>213</v>
      </c>
      <c r="G37" s="59" t="s">
        <v>116</v>
      </c>
      <c r="H37" s="53" t="b">
        <f ca="1">IFERROR(__xludf.DUMMYFUNCTION("if($G37="""",false, if(isna(match(H$2, split($G37:$G383,"", "",False),0)),false,true))"),FALSE)</f>
        <v>0</v>
      </c>
      <c r="I37" s="53" t="b">
        <f ca="1">IFERROR(__xludf.DUMMYFUNCTION("if($G37="""",false, if(isna(match(I$2, split($G37:$G383,"", "",False),0)),false,true))"),FALSE)</f>
        <v>0</v>
      </c>
      <c r="J37" s="53" t="b">
        <f ca="1">IFERROR(__xludf.DUMMYFUNCTION("if($G37="""",false, if(isna(match(J$2, split($G37:$G383,"", "",False),0)),false,true))"),FALSE)</f>
        <v>0</v>
      </c>
      <c r="K37" s="53" t="b">
        <f ca="1">IFERROR(__xludf.DUMMYFUNCTION("if($G37="""",false, if(isna(match(K$2, split($G37:$G383,"", "",False),0)),false,true))"),FALSE)</f>
        <v>0</v>
      </c>
      <c r="L37" s="53" t="b">
        <f ca="1">IFERROR(__xludf.DUMMYFUNCTION("if($G37="""",false, if(isna(match(L$2, split($G37:$G383,"", "",False),0)),false,true))"),FALSE)</f>
        <v>0</v>
      </c>
      <c r="M37" s="53" t="b">
        <f ca="1">IFERROR(__xludf.DUMMYFUNCTION("if($G37="""",false, if(isna(match(M$2, split($G37:$G383,"", "",False),0)),false,true))"),FALSE)</f>
        <v>0</v>
      </c>
      <c r="N37" s="53" t="b">
        <f ca="1">IFERROR(__xludf.DUMMYFUNCTION("if($G37="""",false, if(isna(match(N$2, split($G37:$G383,"", "",False),0)),false,true))"),FALSE)</f>
        <v>0</v>
      </c>
      <c r="O37" s="53" t="b">
        <f ca="1">IFERROR(__xludf.DUMMYFUNCTION("if($G37="""",false, if(isna(match(O$2, split($G37:$G383,"", "",False),0)),false,true))"),FALSE)</f>
        <v>0</v>
      </c>
      <c r="P37" s="53" t="b">
        <f ca="1">IFERROR(__xludf.DUMMYFUNCTION("if($G37="""",false, if(isna(match(P$2, split($G37:$G383,"", "",False),0)),false,true))"),TRUE)</f>
        <v>1</v>
      </c>
      <c r="Q37" s="53" t="b">
        <f ca="1">IFERROR(__xludf.DUMMYFUNCTION("if($G37="""",false, if(isna(match(Q$2, split($G37:$G383,"", "",False),0)),false,true))"),FALSE)</f>
        <v>0</v>
      </c>
      <c r="R37" s="53" t="b">
        <f ca="1">IFERROR(__xludf.DUMMYFUNCTION("if($G37="""",false, if(isna(match(R$2, split($G37:$G383,"", "",False),0)),false,true))"),FALSE)</f>
        <v>0</v>
      </c>
      <c r="S37" s="53" t="b">
        <f ca="1">IFERROR(__xludf.DUMMYFUNCTION("if($G37="""",false, if(isna(match(S$2, split($G37:$G383,"", "",False),0)),false,true))"),FALSE)</f>
        <v>0</v>
      </c>
      <c r="T37" s="53" t="b">
        <f ca="1">IFERROR(__xludf.DUMMYFUNCTION("if($G37="""",false, if(isna(match(T$2, split($G37:$G383,"", "",False),0)),false,true))"),FALSE)</f>
        <v>0</v>
      </c>
      <c r="U37" s="53" t="b">
        <f ca="1">IFERROR(__xludf.DUMMYFUNCTION("if($G37="""",false, if(isna(match(U$2, split($G37:$G383,"", "",False),0)),false,true))"),FALSE)</f>
        <v>0</v>
      </c>
      <c r="V37" s="53" t="b">
        <f ca="1">IFERROR(__xludf.DUMMYFUNCTION("if($G37="""",false, if(isna(match(V$2, split($G37:$G383,"", "",False),0)),false,true))"),FALSE)</f>
        <v>0</v>
      </c>
      <c r="W37" s="57" t="b">
        <f ca="1">IFERROR(__xludf.DUMMYFUNCTION("if($G37="""",false, if(isna(match(W$2, split($G37:$G383,"", "",False),0)),false,true))"),FALSE)</f>
        <v>0</v>
      </c>
    </row>
    <row r="38" spans="1:23" ht="84">
      <c r="A38" s="47" t="s">
        <v>214</v>
      </c>
      <c r="B38" s="48" t="s">
        <v>62</v>
      </c>
      <c r="C38" s="49" t="s">
        <v>125</v>
      </c>
      <c r="D38" s="50" t="s">
        <v>162</v>
      </c>
      <c r="E38" s="49" t="s">
        <v>215</v>
      </c>
      <c r="F38" s="51" t="s">
        <v>216</v>
      </c>
      <c r="G38" s="59" t="s">
        <v>117</v>
      </c>
      <c r="H38" s="53" t="b">
        <f ca="1">IFERROR(__xludf.DUMMYFUNCTION("if($G38="""",false, if(isna(match(H$2, split($G38:$G383,"", "",False),0)),false,true))"),FALSE)</f>
        <v>0</v>
      </c>
      <c r="I38" s="53" t="b">
        <f ca="1">IFERROR(__xludf.DUMMYFUNCTION("if($G38="""",false, if(isna(match(I$2, split($G38:$G383,"", "",False),0)),false,true))"),FALSE)</f>
        <v>0</v>
      </c>
      <c r="J38" s="53" t="b">
        <f ca="1">IFERROR(__xludf.DUMMYFUNCTION("if($G38="""",false, if(isna(match(J$2, split($G38:$G383,"", "",False),0)),false,true))"),FALSE)</f>
        <v>0</v>
      </c>
      <c r="K38" s="53" t="b">
        <f ca="1">IFERROR(__xludf.DUMMYFUNCTION("if($G38="""",false, if(isna(match(K$2, split($G38:$G383,"", "",False),0)),false,true))"),FALSE)</f>
        <v>0</v>
      </c>
      <c r="L38" s="53" t="b">
        <f ca="1">IFERROR(__xludf.DUMMYFUNCTION("if($G38="""",false, if(isna(match(L$2, split($G38:$G383,"", "",False),0)),false,true))"),FALSE)</f>
        <v>0</v>
      </c>
      <c r="M38" s="53" t="b">
        <f ca="1">IFERROR(__xludf.DUMMYFUNCTION("if($G38="""",false, if(isna(match(M$2, split($G38:$G383,"", "",False),0)),false,true))"),FALSE)</f>
        <v>0</v>
      </c>
      <c r="N38" s="53" t="b">
        <f ca="1">IFERROR(__xludf.DUMMYFUNCTION("if($G38="""",false, if(isna(match(N$2, split($G38:$G383,"", "",False),0)),false,true))"),FALSE)</f>
        <v>0</v>
      </c>
      <c r="O38" s="53" t="b">
        <f ca="1">IFERROR(__xludf.DUMMYFUNCTION("if($G38="""",false, if(isna(match(O$2, split($G38:$G383,"", "",False),0)),false,true))"),FALSE)</f>
        <v>0</v>
      </c>
      <c r="P38" s="53" t="b">
        <f ca="1">IFERROR(__xludf.DUMMYFUNCTION("if($G38="""",false, if(isna(match(P$2, split($G38:$G383,"", "",False),0)),false,true))"),FALSE)</f>
        <v>0</v>
      </c>
      <c r="Q38" s="53" t="b">
        <f ca="1">IFERROR(__xludf.DUMMYFUNCTION("if($G38="""",false, if(isna(match(Q$2, split($G38:$G383,"", "",False),0)),false,true))"),TRUE)</f>
        <v>1</v>
      </c>
      <c r="R38" s="53" t="b">
        <f ca="1">IFERROR(__xludf.DUMMYFUNCTION("if($G38="""",false, if(isna(match(R$2, split($G38:$G383,"", "",False),0)),false,true))"),FALSE)</f>
        <v>0</v>
      </c>
      <c r="S38" s="53" t="b">
        <f ca="1">IFERROR(__xludf.DUMMYFUNCTION("if($G38="""",false, if(isna(match(S$2, split($G38:$G383,"", "",False),0)),false,true))"),FALSE)</f>
        <v>0</v>
      </c>
      <c r="T38" s="53" t="b">
        <f ca="1">IFERROR(__xludf.DUMMYFUNCTION("if($G38="""",false, if(isna(match(T$2, split($G38:$G383,"", "",False),0)),false,true))"),FALSE)</f>
        <v>0</v>
      </c>
      <c r="U38" s="53" t="b">
        <f ca="1">IFERROR(__xludf.DUMMYFUNCTION("if($G38="""",false, if(isna(match(U$2, split($G38:$G383,"", "",False),0)),false,true))"),FALSE)</f>
        <v>0</v>
      </c>
      <c r="V38" s="53" t="b">
        <f ca="1">IFERROR(__xludf.DUMMYFUNCTION("if($G38="""",false, if(isna(match(V$2, split($G38:$G383,"", "",False),0)),false,true))"),FALSE)</f>
        <v>0</v>
      </c>
      <c r="W38" s="57" t="b">
        <f ca="1">IFERROR(__xludf.DUMMYFUNCTION("if($G38="""",false, if(isna(match(W$2, split($G38:$G383,"", "",False),0)),false,true))"),FALSE)</f>
        <v>0</v>
      </c>
    </row>
    <row r="39" spans="1:23" ht="98">
      <c r="A39" s="47" t="s">
        <v>217</v>
      </c>
      <c r="B39" s="48" t="s">
        <v>62</v>
      </c>
      <c r="C39" s="49" t="s">
        <v>125</v>
      </c>
      <c r="D39" s="50" t="s">
        <v>162</v>
      </c>
      <c r="E39" s="49" t="s">
        <v>218</v>
      </c>
      <c r="F39" s="51" t="s">
        <v>219</v>
      </c>
      <c r="G39" s="59" t="s">
        <v>117</v>
      </c>
      <c r="H39" s="53" t="b">
        <f ca="1">IFERROR(__xludf.DUMMYFUNCTION("if($G39="""",false, if(isna(match(H$2, split($G39:$G383,"", "",False),0)),false,true))"),FALSE)</f>
        <v>0</v>
      </c>
      <c r="I39" s="53" t="b">
        <f ca="1">IFERROR(__xludf.DUMMYFUNCTION("if($G39="""",false, if(isna(match(I$2, split($G39:$G383,"", "",False),0)),false,true))"),FALSE)</f>
        <v>0</v>
      </c>
      <c r="J39" s="53" t="b">
        <f ca="1">IFERROR(__xludf.DUMMYFUNCTION("if($G39="""",false, if(isna(match(J$2, split($G39:$G383,"", "",False),0)),false,true))"),FALSE)</f>
        <v>0</v>
      </c>
      <c r="K39" s="53" t="b">
        <f ca="1">IFERROR(__xludf.DUMMYFUNCTION("if($G39="""",false, if(isna(match(K$2, split($G39:$G383,"", "",False),0)),false,true))"),FALSE)</f>
        <v>0</v>
      </c>
      <c r="L39" s="53" t="b">
        <f ca="1">IFERROR(__xludf.DUMMYFUNCTION("if($G39="""",false, if(isna(match(L$2, split($G39:$G383,"", "",False),0)),false,true))"),FALSE)</f>
        <v>0</v>
      </c>
      <c r="M39" s="53" t="b">
        <f ca="1">IFERROR(__xludf.DUMMYFUNCTION("if($G39="""",false, if(isna(match(M$2, split($G39:$G383,"", "",False),0)),false,true))"),FALSE)</f>
        <v>0</v>
      </c>
      <c r="N39" s="53" t="b">
        <f ca="1">IFERROR(__xludf.DUMMYFUNCTION("if($G39="""",false, if(isna(match(N$2, split($G39:$G383,"", "",False),0)),false,true))"),FALSE)</f>
        <v>0</v>
      </c>
      <c r="O39" s="53" t="b">
        <f ca="1">IFERROR(__xludf.DUMMYFUNCTION("if($G39="""",false, if(isna(match(O$2, split($G39:$G383,"", "",False),0)),false,true))"),FALSE)</f>
        <v>0</v>
      </c>
      <c r="P39" s="53" t="b">
        <f ca="1">IFERROR(__xludf.DUMMYFUNCTION("if($G39="""",false, if(isna(match(P$2, split($G39:$G383,"", "",False),0)),false,true))"),FALSE)</f>
        <v>0</v>
      </c>
      <c r="Q39" s="53" t="b">
        <f ca="1">IFERROR(__xludf.DUMMYFUNCTION("if($G39="""",false, if(isna(match(Q$2, split($G39:$G383,"", "",False),0)),false,true))"),TRUE)</f>
        <v>1</v>
      </c>
      <c r="R39" s="53" t="b">
        <f ca="1">IFERROR(__xludf.DUMMYFUNCTION("if($G39="""",false, if(isna(match(R$2, split($G39:$G383,"", "",False),0)),false,true))"),FALSE)</f>
        <v>0</v>
      </c>
      <c r="S39" s="53" t="b">
        <f ca="1">IFERROR(__xludf.DUMMYFUNCTION("if($G39="""",false, if(isna(match(S$2, split($G39:$G383,"", "",False),0)),false,true))"),FALSE)</f>
        <v>0</v>
      </c>
      <c r="T39" s="53" t="b">
        <f ca="1">IFERROR(__xludf.DUMMYFUNCTION("if($G39="""",false, if(isna(match(T$2, split($G39:$G383,"", "",False),0)),false,true))"),FALSE)</f>
        <v>0</v>
      </c>
      <c r="U39" s="53" t="b">
        <f ca="1">IFERROR(__xludf.DUMMYFUNCTION("if($G39="""",false, if(isna(match(U$2, split($G39:$G383,"", "",False),0)),false,true))"),FALSE)</f>
        <v>0</v>
      </c>
      <c r="V39" s="53" t="b">
        <f ca="1">IFERROR(__xludf.DUMMYFUNCTION("if($G39="""",false, if(isna(match(V$2, split($G39:$G383,"", "",False),0)),false,true))"),FALSE)</f>
        <v>0</v>
      </c>
      <c r="W39" s="57" t="b">
        <f ca="1">IFERROR(__xludf.DUMMYFUNCTION("if($G39="""",false, if(isna(match(W$2, split($G39:$G383,"", "",False),0)),false,true))"),FALSE)</f>
        <v>0</v>
      </c>
    </row>
    <row r="40" spans="1:23" ht="56">
      <c r="A40" s="47" t="s">
        <v>220</v>
      </c>
      <c r="B40" s="48" t="s">
        <v>62</v>
      </c>
      <c r="C40" s="49" t="s">
        <v>125</v>
      </c>
      <c r="D40" s="50" t="s">
        <v>162</v>
      </c>
      <c r="E40" s="49" t="s">
        <v>221</v>
      </c>
      <c r="F40" s="51" t="s">
        <v>222</v>
      </c>
      <c r="G40" s="59" t="s">
        <v>117</v>
      </c>
      <c r="H40" s="53" t="b">
        <f ca="1">IFERROR(__xludf.DUMMYFUNCTION("if($G40="""",false, if(isna(match(H$2, split($G40:$G383,"", "",False),0)),false,true))"),FALSE)</f>
        <v>0</v>
      </c>
      <c r="I40" s="53" t="b">
        <f ca="1">IFERROR(__xludf.DUMMYFUNCTION("if($G40="""",false, if(isna(match(I$2, split($G40:$G383,"", "",False),0)),false,true))"),FALSE)</f>
        <v>0</v>
      </c>
      <c r="J40" s="53" t="b">
        <f ca="1">IFERROR(__xludf.DUMMYFUNCTION("if($G40="""",false, if(isna(match(J$2, split($G40:$G383,"", "",False),0)),false,true))"),FALSE)</f>
        <v>0</v>
      </c>
      <c r="K40" s="53" t="b">
        <f ca="1">IFERROR(__xludf.DUMMYFUNCTION("if($G40="""",false, if(isna(match(K$2, split($G40:$G383,"", "",False),0)),false,true))"),FALSE)</f>
        <v>0</v>
      </c>
      <c r="L40" s="53" t="b">
        <f ca="1">IFERROR(__xludf.DUMMYFUNCTION("if($G40="""",false, if(isna(match(L$2, split($G40:$G383,"", "",False),0)),false,true))"),FALSE)</f>
        <v>0</v>
      </c>
      <c r="M40" s="53" t="b">
        <f ca="1">IFERROR(__xludf.DUMMYFUNCTION("if($G40="""",false, if(isna(match(M$2, split($G40:$G383,"", "",False),0)),false,true))"),FALSE)</f>
        <v>0</v>
      </c>
      <c r="N40" s="53" t="b">
        <f ca="1">IFERROR(__xludf.DUMMYFUNCTION("if($G40="""",false, if(isna(match(N$2, split($G40:$G383,"", "",False),0)),false,true))"),FALSE)</f>
        <v>0</v>
      </c>
      <c r="O40" s="53" t="b">
        <f ca="1">IFERROR(__xludf.DUMMYFUNCTION("if($G40="""",false, if(isna(match(O$2, split($G40:$G383,"", "",False),0)),false,true))"),FALSE)</f>
        <v>0</v>
      </c>
      <c r="P40" s="53" t="b">
        <f ca="1">IFERROR(__xludf.DUMMYFUNCTION("if($G40="""",false, if(isna(match(P$2, split($G40:$G383,"", "",False),0)),false,true))"),FALSE)</f>
        <v>0</v>
      </c>
      <c r="Q40" s="53" t="b">
        <f ca="1">IFERROR(__xludf.DUMMYFUNCTION("if($G40="""",false, if(isna(match(Q$2, split($G40:$G383,"", "",False),0)),false,true))"),TRUE)</f>
        <v>1</v>
      </c>
      <c r="R40" s="53" t="b">
        <f ca="1">IFERROR(__xludf.DUMMYFUNCTION("if($G40="""",false, if(isna(match(R$2, split($G40:$G383,"", "",False),0)),false,true))"),FALSE)</f>
        <v>0</v>
      </c>
      <c r="S40" s="53" t="b">
        <f ca="1">IFERROR(__xludf.DUMMYFUNCTION("if($G40="""",false, if(isna(match(S$2, split($G40:$G383,"", "",False),0)),false,true))"),FALSE)</f>
        <v>0</v>
      </c>
      <c r="T40" s="53" t="b">
        <f ca="1">IFERROR(__xludf.DUMMYFUNCTION("if($G40="""",false, if(isna(match(T$2, split($G40:$G383,"", "",False),0)),false,true))"),FALSE)</f>
        <v>0</v>
      </c>
      <c r="U40" s="53" t="b">
        <f ca="1">IFERROR(__xludf.DUMMYFUNCTION("if($G40="""",false, if(isna(match(U$2, split($G40:$G383,"", "",False),0)),false,true))"),FALSE)</f>
        <v>0</v>
      </c>
      <c r="V40" s="53" t="b">
        <f ca="1">IFERROR(__xludf.DUMMYFUNCTION("if($G40="""",false, if(isna(match(V$2, split($G40:$G383,"", "",False),0)),false,true))"),FALSE)</f>
        <v>0</v>
      </c>
      <c r="W40" s="57" t="b">
        <f ca="1">IFERROR(__xludf.DUMMYFUNCTION("if($G40="""",false, if(isna(match(W$2, split($G40:$G383,"", "",False),0)),false,true))"),FALSE)</f>
        <v>0</v>
      </c>
    </row>
    <row r="41" spans="1:23" ht="28">
      <c r="A41" s="47" t="s">
        <v>223</v>
      </c>
      <c r="B41" s="48" t="s">
        <v>62</v>
      </c>
      <c r="C41" s="49" t="s">
        <v>125</v>
      </c>
      <c r="D41" s="50" t="s">
        <v>162</v>
      </c>
      <c r="E41" s="49" t="s">
        <v>224</v>
      </c>
      <c r="F41" s="51" t="s">
        <v>225</v>
      </c>
      <c r="G41" s="59" t="s">
        <v>120</v>
      </c>
      <c r="H41" s="53" t="b">
        <f ca="1">IFERROR(__xludf.DUMMYFUNCTION("if($G41="""",false, if(isna(match(H$2, split($G41:$G383,"", "",False),0)),false,true))"),FALSE)</f>
        <v>0</v>
      </c>
      <c r="I41" s="53" t="b">
        <f ca="1">IFERROR(__xludf.DUMMYFUNCTION("if($G41="""",false, if(isna(match(I$2, split($G41:$G383,"", "",False),0)),false,true))"),FALSE)</f>
        <v>0</v>
      </c>
      <c r="J41" s="53" t="b">
        <f ca="1">IFERROR(__xludf.DUMMYFUNCTION("if($G41="""",false, if(isna(match(J$2, split($G41:$G383,"", "",False),0)),false,true))"),FALSE)</f>
        <v>0</v>
      </c>
      <c r="K41" s="53" t="b">
        <f ca="1">IFERROR(__xludf.DUMMYFUNCTION("if($G41="""",false, if(isna(match(K$2, split($G41:$G383,"", "",False),0)),false,true))"),FALSE)</f>
        <v>0</v>
      </c>
      <c r="L41" s="53" t="b">
        <f ca="1">IFERROR(__xludf.DUMMYFUNCTION("if($G41="""",false, if(isna(match(L$2, split($G41:$G383,"", "",False),0)),false,true))"),FALSE)</f>
        <v>0</v>
      </c>
      <c r="M41" s="53" t="b">
        <f ca="1">IFERROR(__xludf.DUMMYFUNCTION("if($G41="""",false, if(isna(match(M$2, split($G41:$G383,"", "",False),0)),false,true))"),FALSE)</f>
        <v>0</v>
      </c>
      <c r="N41" s="53" t="b">
        <f ca="1">IFERROR(__xludf.DUMMYFUNCTION("if($G41="""",false, if(isna(match(N$2, split($G41:$G383,"", "",False),0)),false,true))"),FALSE)</f>
        <v>0</v>
      </c>
      <c r="O41" s="53" t="b">
        <f ca="1">IFERROR(__xludf.DUMMYFUNCTION("if($G41="""",false, if(isna(match(O$2, split($G41:$G383,"", "",False),0)),false,true))"),FALSE)</f>
        <v>0</v>
      </c>
      <c r="P41" s="53" t="b">
        <f ca="1">IFERROR(__xludf.DUMMYFUNCTION("if($G41="""",false, if(isna(match(P$2, split($G41:$G383,"", "",False),0)),false,true))"),FALSE)</f>
        <v>0</v>
      </c>
      <c r="Q41" s="53" t="b">
        <f ca="1">IFERROR(__xludf.DUMMYFUNCTION("if($G41="""",false, if(isna(match(Q$2, split($G41:$G383,"", "",False),0)),false,true))"),FALSE)</f>
        <v>0</v>
      </c>
      <c r="R41" s="53" t="b">
        <f ca="1">IFERROR(__xludf.DUMMYFUNCTION("if($G41="""",false, if(isna(match(R$2, split($G41:$G383,"", "",False),0)),false,true))"),FALSE)</f>
        <v>0</v>
      </c>
      <c r="S41" s="53" t="b">
        <f ca="1">IFERROR(__xludf.DUMMYFUNCTION("if($G41="""",false, if(isna(match(S$2, split($G41:$G383,"", "",False),0)),false,true))"),FALSE)</f>
        <v>0</v>
      </c>
      <c r="T41" s="53" t="b">
        <f ca="1">IFERROR(__xludf.DUMMYFUNCTION("if($G41="""",false, if(isna(match(T$2, split($G41:$G383,"", "",False),0)),false,true))"),TRUE)</f>
        <v>1</v>
      </c>
      <c r="U41" s="53" t="b">
        <f ca="1">IFERROR(__xludf.DUMMYFUNCTION("if($G41="""",false, if(isna(match(U$2, split($G41:$G383,"", "",False),0)),false,true))"),FALSE)</f>
        <v>0</v>
      </c>
      <c r="V41" s="53" t="b">
        <f ca="1">IFERROR(__xludf.DUMMYFUNCTION("if($G41="""",false, if(isna(match(V$2, split($G41:$G383,"", "",False),0)),false,true))"),FALSE)</f>
        <v>0</v>
      </c>
      <c r="W41" s="57" t="b">
        <f ca="1">IFERROR(__xludf.DUMMYFUNCTION("if($G41="""",false, if(isna(match(W$2, split($G41:$G383,"", "",False),0)),false,true))"),FALSE)</f>
        <v>0</v>
      </c>
    </row>
    <row r="42" spans="1:23" ht="28">
      <c r="A42" s="47" t="s">
        <v>226</v>
      </c>
      <c r="B42" s="48" t="s">
        <v>62</v>
      </c>
      <c r="C42" s="49" t="s">
        <v>125</v>
      </c>
      <c r="D42" s="50" t="s">
        <v>162</v>
      </c>
      <c r="E42" s="49" t="s">
        <v>224</v>
      </c>
      <c r="F42" s="51" t="s">
        <v>227</v>
      </c>
      <c r="G42" s="59" t="s">
        <v>120</v>
      </c>
      <c r="H42" s="53" t="b">
        <f ca="1">IFERROR(__xludf.DUMMYFUNCTION("if($G42="""",false, if(isna(match(H$2, split($G42:$G383,"", "",False),0)),false,true))"),FALSE)</f>
        <v>0</v>
      </c>
      <c r="I42" s="53" t="b">
        <f ca="1">IFERROR(__xludf.DUMMYFUNCTION("if($G42="""",false, if(isna(match(I$2, split($G42:$G383,"", "",False),0)),false,true))"),FALSE)</f>
        <v>0</v>
      </c>
      <c r="J42" s="53" t="b">
        <f ca="1">IFERROR(__xludf.DUMMYFUNCTION("if($G42="""",false, if(isna(match(J$2, split($G42:$G383,"", "",False),0)),false,true))"),FALSE)</f>
        <v>0</v>
      </c>
      <c r="K42" s="53" t="b">
        <f ca="1">IFERROR(__xludf.DUMMYFUNCTION("if($G42="""",false, if(isna(match(K$2, split($G42:$G383,"", "",False),0)),false,true))"),FALSE)</f>
        <v>0</v>
      </c>
      <c r="L42" s="53" t="b">
        <f ca="1">IFERROR(__xludf.DUMMYFUNCTION("if($G42="""",false, if(isna(match(L$2, split($G42:$G383,"", "",False),0)),false,true))"),FALSE)</f>
        <v>0</v>
      </c>
      <c r="M42" s="53" t="b">
        <f ca="1">IFERROR(__xludf.DUMMYFUNCTION("if($G42="""",false, if(isna(match(M$2, split($G42:$G383,"", "",False),0)),false,true))"),FALSE)</f>
        <v>0</v>
      </c>
      <c r="N42" s="53" t="b">
        <f ca="1">IFERROR(__xludf.DUMMYFUNCTION("if($G42="""",false, if(isna(match(N$2, split($G42:$G383,"", "",False),0)),false,true))"),FALSE)</f>
        <v>0</v>
      </c>
      <c r="O42" s="53" t="b">
        <f ca="1">IFERROR(__xludf.DUMMYFUNCTION("if($G42="""",false, if(isna(match(O$2, split($G42:$G383,"", "",False),0)),false,true))"),FALSE)</f>
        <v>0</v>
      </c>
      <c r="P42" s="53" t="b">
        <f ca="1">IFERROR(__xludf.DUMMYFUNCTION("if($G42="""",false, if(isna(match(P$2, split($G42:$G383,"", "",False),0)),false,true))"),FALSE)</f>
        <v>0</v>
      </c>
      <c r="Q42" s="53" t="b">
        <f ca="1">IFERROR(__xludf.DUMMYFUNCTION("if($G42="""",false, if(isna(match(Q$2, split($G42:$G383,"", "",False),0)),false,true))"),FALSE)</f>
        <v>0</v>
      </c>
      <c r="R42" s="53" t="b">
        <f ca="1">IFERROR(__xludf.DUMMYFUNCTION("if($G42="""",false, if(isna(match(R$2, split($G42:$G383,"", "",False),0)),false,true))"),FALSE)</f>
        <v>0</v>
      </c>
      <c r="S42" s="53" t="b">
        <f ca="1">IFERROR(__xludf.DUMMYFUNCTION("if($G42="""",false, if(isna(match(S$2, split($G42:$G383,"", "",False),0)),false,true))"),FALSE)</f>
        <v>0</v>
      </c>
      <c r="T42" s="53" t="b">
        <f ca="1">IFERROR(__xludf.DUMMYFUNCTION("if($G42="""",false, if(isna(match(T$2, split($G42:$G383,"", "",False),0)),false,true))"),TRUE)</f>
        <v>1</v>
      </c>
      <c r="U42" s="53" t="b">
        <f ca="1">IFERROR(__xludf.DUMMYFUNCTION("if($G42="""",false, if(isna(match(U$2, split($G42:$G383,"", "",False),0)),false,true))"),FALSE)</f>
        <v>0</v>
      </c>
      <c r="V42" s="53" t="b">
        <f ca="1">IFERROR(__xludf.DUMMYFUNCTION("if($G42="""",false, if(isna(match(V$2, split($G42:$G383,"", "",False),0)),false,true))"),FALSE)</f>
        <v>0</v>
      </c>
      <c r="W42" s="57" t="b">
        <f ca="1">IFERROR(__xludf.DUMMYFUNCTION("if($G42="""",false, if(isna(match(W$2, split($G42:$G383,"", "",False),0)),false,true))"),FALSE)</f>
        <v>0</v>
      </c>
    </row>
    <row r="43" spans="1:23" ht="28">
      <c r="A43" s="47" t="s">
        <v>228</v>
      </c>
      <c r="B43" s="48" t="s">
        <v>62</v>
      </c>
      <c r="C43" s="49" t="s">
        <v>125</v>
      </c>
      <c r="D43" s="50" t="s">
        <v>162</v>
      </c>
      <c r="E43" s="49" t="s">
        <v>224</v>
      </c>
      <c r="F43" s="51" t="s">
        <v>229</v>
      </c>
      <c r="G43" s="59" t="s">
        <v>230</v>
      </c>
      <c r="H43" s="53" t="b">
        <f ca="1">IFERROR(__xludf.DUMMYFUNCTION("if($G43="""",false, if(isna(match(H$2, split($G43:$G383,"", "",False),0)),false,true))"),FALSE)</f>
        <v>0</v>
      </c>
      <c r="I43" s="53" t="b">
        <f ca="1">IFERROR(__xludf.DUMMYFUNCTION("if($G43="""",false, if(isna(match(I$2, split($G43:$G383,"", "",False),0)),false,true))"),FALSE)</f>
        <v>0</v>
      </c>
      <c r="J43" s="53" t="b">
        <f ca="1">IFERROR(__xludf.DUMMYFUNCTION("if($G43="""",false, if(isna(match(J$2, split($G43:$G383,"", "",False),0)),false,true))"),FALSE)</f>
        <v>0</v>
      </c>
      <c r="K43" s="53" t="b">
        <f ca="1">IFERROR(__xludf.DUMMYFUNCTION("if($G43="""",false, if(isna(match(K$2, split($G43:$G383,"", "",False),0)),false,true))"),FALSE)</f>
        <v>0</v>
      </c>
      <c r="L43" s="53" t="b">
        <f ca="1">IFERROR(__xludf.DUMMYFUNCTION("if($G43="""",false, if(isna(match(L$2, split($G43:$G383,"", "",False),0)),false,true))"),FALSE)</f>
        <v>0</v>
      </c>
      <c r="M43" s="53" t="b">
        <f ca="1">IFERROR(__xludf.DUMMYFUNCTION("if($G43="""",false, if(isna(match(M$2, split($G43:$G383,"", "",False),0)),false,true))"),FALSE)</f>
        <v>0</v>
      </c>
      <c r="N43" s="53" t="b">
        <f ca="1">IFERROR(__xludf.DUMMYFUNCTION("if($G43="""",false, if(isna(match(N$2, split($G43:$G383,"", "",False),0)),false,true))"),FALSE)</f>
        <v>0</v>
      </c>
      <c r="O43" s="53" t="b">
        <f ca="1">IFERROR(__xludf.DUMMYFUNCTION("if($G43="""",false, if(isna(match(O$2, split($G43:$G383,"", "",False),0)),false,true))"),FALSE)</f>
        <v>0</v>
      </c>
      <c r="P43" s="53" t="b">
        <f ca="1">IFERROR(__xludf.DUMMYFUNCTION("if($G43="""",false, if(isna(match(P$2, split($G43:$G383,"", "",False),0)),false,true))"),FALSE)</f>
        <v>0</v>
      </c>
      <c r="Q43" s="53" t="b">
        <f ca="1">IFERROR(__xludf.DUMMYFUNCTION("if($G43="""",false, if(isna(match(Q$2, split($G43:$G383,"", "",False),0)),false,true))"),FALSE)</f>
        <v>0</v>
      </c>
      <c r="R43" s="53" t="b">
        <f ca="1">IFERROR(__xludf.DUMMYFUNCTION("if($G43="""",false, if(isna(match(R$2, split($G43:$G383,"", "",False),0)),false,true))"),FALSE)</f>
        <v>0</v>
      </c>
      <c r="S43" s="53" t="b">
        <f ca="1">IFERROR(__xludf.DUMMYFUNCTION("if($G43="""",false, if(isna(match(S$2, split($G43:$G383,"", "",False),0)),false,true))"),FALSE)</f>
        <v>0</v>
      </c>
      <c r="T43" s="53" t="b">
        <f ca="1">IFERROR(__xludf.DUMMYFUNCTION("if($G43="""",false, if(isna(match(T$2, split($G43:$G383,"", "",False),0)),false,true))"),TRUE)</f>
        <v>1</v>
      </c>
      <c r="U43" s="53" t="b">
        <f ca="1">IFERROR(__xludf.DUMMYFUNCTION("if($G43="""",false, if(isna(match(U$2, split($G43:$G383,"", "",False),0)),false,true))"),FALSE)</f>
        <v>0</v>
      </c>
      <c r="V43" s="53" t="b">
        <f ca="1">IFERROR(__xludf.DUMMYFUNCTION("if($G43="""",false, if(isna(match(V$2, split($G43:$G383,"", "",False),0)),false,true))"),FALSE)</f>
        <v>0</v>
      </c>
      <c r="W43" s="57" t="b">
        <f ca="1">IFERROR(__xludf.DUMMYFUNCTION("if($G43="""",false, if(isna(match(W$2, split($G43:$G383,"", "",False),0)),false,true))"),FALSE)</f>
        <v>0</v>
      </c>
    </row>
    <row r="44" spans="1:23" ht="28">
      <c r="A44" s="47" t="s">
        <v>231</v>
      </c>
      <c r="B44" s="48" t="s">
        <v>62</v>
      </c>
      <c r="C44" s="49" t="s">
        <v>125</v>
      </c>
      <c r="D44" s="50" t="s">
        <v>162</v>
      </c>
      <c r="E44" s="49" t="s">
        <v>224</v>
      </c>
      <c r="F44" s="51" t="s">
        <v>232</v>
      </c>
      <c r="G44" s="59" t="s">
        <v>116</v>
      </c>
      <c r="H44" s="53" t="b">
        <f ca="1">IFERROR(__xludf.DUMMYFUNCTION("if($G44="""",false, if(isna(match(H$2, split($G44:$G383,"", "",False),0)),false,true))"),FALSE)</f>
        <v>0</v>
      </c>
      <c r="I44" s="53" t="b">
        <f ca="1">IFERROR(__xludf.DUMMYFUNCTION("if($G44="""",false, if(isna(match(I$2, split($G44:$G383,"", "",False),0)),false,true))"),FALSE)</f>
        <v>0</v>
      </c>
      <c r="J44" s="53" t="b">
        <f ca="1">IFERROR(__xludf.DUMMYFUNCTION("if($G44="""",false, if(isna(match(J$2, split($G44:$G383,"", "",False),0)),false,true))"),FALSE)</f>
        <v>0</v>
      </c>
      <c r="K44" s="53" t="b">
        <f ca="1">IFERROR(__xludf.DUMMYFUNCTION("if($G44="""",false, if(isna(match(K$2, split($G44:$G383,"", "",False),0)),false,true))"),FALSE)</f>
        <v>0</v>
      </c>
      <c r="L44" s="53" t="b">
        <f ca="1">IFERROR(__xludf.DUMMYFUNCTION("if($G44="""",false, if(isna(match(L$2, split($G44:$G383,"", "",False),0)),false,true))"),FALSE)</f>
        <v>0</v>
      </c>
      <c r="M44" s="53" t="b">
        <f ca="1">IFERROR(__xludf.DUMMYFUNCTION("if($G44="""",false, if(isna(match(M$2, split($G44:$G383,"", "",False),0)),false,true))"),FALSE)</f>
        <v>0</v>
      </c>
      <c r="N44" s="53" t="b">
        <f ca="1">IFERROR(__xludf.DUMMYFUNCTION("if($G44="""",false, if(isna(match(N$2, split($G44:$G383,"", "",False),0)),false,true))"),FALSE)</f>
        <v>0</v>
      </c>
      <c r="O44" s="53" t="b">
        <f ca="1">IFERROR(__xludf.DUMMYFUNCTION("if($G44="""",false, if(isna(match(O$2, split($G44:$G383,"", "",False),0)),false,true))"),FALSE)</f>
        <v>0</v>
      </c>
      <c r="P44" s="53" t="b">
        <f ca="1">IFERROR(__xludf.DUMMYFUNCTION("if($G44="""",false, if(isna(match(P$2, split($G44:$G383,"", "",False),0)),false,true))"),TRUE)</f>
        <v>1</v>
      </c>
      <c r="Q44" s="53" t="b">
        <f ca="1">IFERROR(__xludf.DUMMYFUNCTION("if($G44="""",false, if(isna(match(Q$2, split($G44:$G383,"", "",False),0)),false,true))"),FALSE)</f>
        <v>0</v>
      </c>
      <c r="R44" s="53" t="b">
        <f ca="1">IFERROR(__xludf.DUMMYFUNCTION("if($G44="""",false, if(isna(match(R$2, split($G44:$G383,"", "",False),0)),false,true))"),FALSE)</f>
        <v>0</v>
      </c>
      <c r="S44" s="53" t="b">
        <f ca="1">IFERROR(__xludf.DUMMYFUNCTION("if($G44="""",false, if(isna(match(S$2, split($G44:$G383,"", "",False),0)),false,true))"),FALSE)</f>
        <v>0</v>
      </c>
      <c r="T44" s="53" t="b">
        <f ca="1">IFERROR(__xludf.DUMMYFUNCTION("if($G44="""",false, if(isna(match(T$2, split($G44:$G383,"", "",False),0)),false,true))"),FALSE)</f>
        <v>0</v>
      </c>
      <c r="U44" s="53" t="b">
        <f ca="1">IFERROR(__xludf.DUMMYFUNCTION("if($G44="""",false, if(isna(match(U$2, split($G44:$G383,"", "",False),0)),false,true))"),FALSE)</f>
        <v>0</v>
      </c>
      <c r="V44" s="53" t="b">
        <f ca="1">IFERROR(__xludf.DUMMYFUNCTION("if($G44="""",false, if(isna(match(V$2, split($G44:$G383,"", "",False),0)),false,true))"),FALSE)</f>
        <v>0</v>
      </c>
      <c r="W44" s="57" t="b">
        <f ca="1">IFERROR(__xludf.DUMMYFUNCTION("if($G44="""",false, if(isna(match(W$2, split($G44:$G383,"", "",False),0)),false,true))"),FALSE)</f>
        <v>0</v>
      </c>
    </row>
    <row r="45" spans="1:23" ht="28">
      <c r="A45" s="47" t="s">
        <v>233</v>
      </c>
      <c r="B45" s="48" t="s">
        <v>62</v>
      </c>
      <c r="C45" s="49" t="s">
        <v>125</v>
      </c>
      <c r="D45" s="50" t="s">
        <v>162</v>
      </c>
      <c r="E45" s="49" t="s">
        <v>224</v>
      </c>
      <c r="F45" s="51" t="s">
        <v>234</v>
      </c>
      <c r="G45" s="59" t="s">
        <v>116</v>
      </c>
      <c r="H45" s="53" t="b">
        <f ca="1">IFERROR(__xludf.DUMMYFUNCTION("if($G45="""",false, if(isna(match(H$2, split($G45:$G383,"", "",False),0)),false,true))"),FALSE)</f>
        <v>0</v>
      </c>
      <c r="I45" s="53" t="b">
        <f ca="1">IFERROR(__xludf.DUMMYFUNCTION("if($G45="""",false, if(isna(match(I$2, split($G45:$G383,"", "",False),0)),false,true))"),FALSE)</f>
        <v>0</v>
      </c>
      <c r="J45" s="53" t="b">
        <f ca="1">IFERROR(__xludf.DUMMYFUNCTION("if($G45="""",false, if(isna(match(J$2, split($G45:$G383,"", "",False),0)),false,true))"),FALSE)</f>
        <v>0</v>
      </c>
      <c r="K45" s="53" t="b">
        <f ca="1">IFERROR(__xludf.DUMMYFUNCTION("if($G45="""",false, if(isna(match(K$2, split($G45:$G383,"", "",False),0)),false,true))"),FALSE)</f>
        <v>0</v>
      </c>
      <c r="L45" s="53" t="b">
        <f ca="1">IFERROR(__xludf.DUMMYFUNCTION("if($G45="""",false, if(isna(match(L$2, split($G45:$G383,"", "",False),0)),false,true))"),FALSE)</f>
        <v>0</v>
      </c>
      <c r="M45" s="53" t="b">
        <f ca="1">IFERROR(__xludf.DUMMYFUNCTION("if($G45="""",false, if(isna(match(M$2, split($G45:$G383,"", "",False),0)),false,true))"),FALSE)</f>
        <v>0</v>
      </c>
      <c r="N45" s="53" t="b">
        <f ca="1">IFERROR(__xludf.DUMMYFUNCTION("if($G45="""",false, if(isna(match(N$2, split($G45:$G383,"", "",False),0)),false,true))"),FALSE)</f>
        <v>0</v>
      </c>
      <c r="O45" s="53" t="b">
        <f ca="1">IFERROR(__xludf.DUMMYFUNCTION("if($G45="""",false, if(isna(match(O$2, split($G45:$G383,"", "",False),0)),false,true))"),FALSE)</f>
        <v>0</v>
      </c>
      <c r="P45" s="53" t="b">
        <f ca="1">IFERROR(__xludf.DUMMYFUNCTION("if($G45="""",false, if(isna(match(P$2, split($G45:$G383,"", "",False),0)),false,true))"),TRUE)</f>
        <v>1</v>
      </c>
      <c r="Q45" s="53" t="b">
        <f ca="1">IFERROR(__xludf.DUMMYFUNCTION("if($G45="""",false, if(isna(match(Q$2, split($G45:$G383,"", "",False),0)),false,true))"),FALSE)</f>
        <v>0</v>
      </c>
      <c r="R45" s="53" t="b">
        <f ca="1">IFERROR(__xludf.DUMMYFUNCTION("if($G45="""",false, if(isna(match(R$2, split($G45:$G383,"", "",False),0)),false,true))"),FALSE)</f>
        <v>0</v>
      </c>
      <c r="S45" s="53" t="b">
        <f ca="1">IFERROR(__xludf.DUMMYFUNCTION("if($G45="""",false, if(isna(match(S$2, split($G45:$G383,"", "",False),0)),false,true))"),FALSE)</f>
        <v>0</v>
      </c>
      <c r="T45" s="53" t="b">
        <f ca="1">IFERROR(__xludf.DUMMYFUNCTION("if($G45="""",false, if(isna(match(T$2, split($G45:$G383,"", "",False),0)),false,true))"),FALSE)</f>
        <v>0</v>
      </c>
      <c r="U45" s="53" t="b">
        <f ca="1">IFERROR(__xludf.DUMMYFUNCTION("if($G45="""",false, if(isna(match(U$2, split($G45:$G383,"", "",False),0)),false,true))"),FALSE)</f>
        <v>0</v>
      </c>
      <c r="V45" s="53" t="b">
        <f ca="1">IFERROR(__xludf.DUMMYFUNCTION("if($G45="""",false, if(isna(match(V$2, split($G45:$G383,"", "",False),0)),false,true))"),FALSE)</f>
        <v>0</v>
      </c>
      <c r="W45" s="57" t="b">
        <f ca="1">IFERROR(__xludf.DUMMYFUNCTION("if($G45="""",false, if(isna(match(W$2, split($G45:$G383,"", "",False),0)),false,true))"),FALSE)</f>
        <v>0</v>
      </c>
    </row>
    <row r="46" spans="1:23" ht="112">
      <c r="A46" s="47" t="s">
        <v>235</v>
      </c>
      <c r="B46" s="48" t="s">
        <v>62</v>
      </c>
      <c r="C46" s="49" t="s">
        <v>125</v>
      </c>
      <c r="D46" s="50" t="s">
        <v>162</v>
      </c>
      <c r="E46" s="49" t="s">
        <v>224</v>
      </c>
      <c r="F46" s="51" t="s">
        <v>236</v>
      </c>
      <c r="G46" s="59" t="s">
        <v>230</v>
      </c>
      <c r="H46" s="53" t="b">
        <f ca="1">IFERROR(__xludf.DUMMYFUNCTION("if($G46="""",false, if(isna(match(H$2, split($G46:$G383,"", "",False),0)),false,true))"),FALSE)</f>
        <v>0</v>
      </c>
      <c r="I46" s="53" t="b">
        <f ca="1">IFERROR(__xludf.DUMMYFUNCTION("if($G46="""",false, if(isna(match(I$2, split($G46:$G383,"", "",False),0)),false,true))"),FALSE)</f>
        <v>0</v>
      </c>
      <c r="J46" s="53" t="b">
        <f ca="1">IFERROR(__xludf.DUMMYFUNCTION("if($G46="""",false, if(isna(match(J$2, split($G46:$G383,"", "",False),0)),false,true))"),FALSE)</f>
        <v>0</v>
      </c>
      <c r="K46" s="53" t="b">
        <f ca="1">IFERROR(__xludf.DUMMYFUNCTION("if($G46="""",false, if(isna(match(K$2, split($G46:$G383,"", "",False),0)),false,true))"),FALSE)</f>
        <v>0</v>
      </c>
      <c r="L46" s="53" t="b">
        <f ca="1">IFERROR(__xludf.DUMMYFUNCTION("if($G46="""",false, if(isna(match(L$2, split($G46:$G383,"", "",False),0)),false,true))"),FALSE)</f>
        <v>0</v>
      </c>
      <c r="M46" s="53" t="b">
        <f ca="1">IFERROR(__xludf.DUMMYFUNCTION("if($G46="""",false, if(isna(match(M$2, split($G46:$G383,"", "",False),0)),false,true))"),FALSE)</f>
        <v>0</v>
      </c>
      <c r="N46" s="53" t="b">
        <f ca="1">IFERROR(__xludf.DUMMYFUNCTION("if($G46="""",false, if(isna(match(N$2, split($G46:$G383,"", "",False),0)),false,true))"),FALSE)</f>
        <v>0</v>
      </c>
      <c r="O46" s="53" t="b">
        <f ca="1">IFERROR(__xludf.DUMMYFUNCTION("if($G46="""",false, if(isna(match(O$2, split($G46:$G383,"", "",False),0)),false,true))"),FALSE)</f>
        <v>0</v>
      </c>
      <c r="P46" s="53" t="b">
        <f ca="1">IFERROR(__xludf.DUMMYFUNCTION("if($G46="""",false, if(isna(match(P$2, split($G46:$G383,"", "",False),0)),false,true))"),FALSE)</f>
        <v>0</v>
      </c>
      <c r="Q46" s="53" t="b">
        <f ca="1">IFERROR(__xludf.DUMMYFUNCTION("if($G46="""",false, if(isna(match(Q$2, split($G46:$G383,"", "",False),0)),false,true))"),FALSE)</f>
        <v>0</v>
      </c>
      <c r="R46" s="53" t="b">
        <f ca="1">IFERROR(__xludf.DUMMYFUNCTION("if($G46="""",false, if(isna(match(R$2, split($G46:$G383,"", "",False),0)),false,true))"),FALSE)</f>
        <v>0</v>
      </c>
      <c r="S46" s="53" t="b">
        <f ca="1">IFERROR(__xludf.DUMMYFUNCTION("if($G46="""",false, if(isna(match(S$2, split($G46:$G383,"", "",False),0)),false,true))"),FALSE)</f>
        <v>0</v>
      </c>
      <c r="T46" s="53" t="b">
        <f ca="1">IFERROR(__xludf.DUMMYFUNCTION("if($G46="""",false, if(isna(match(T$2, split($G46:$G383,"", "",False),0)),false,true))"),TRUE)</f>
        <v>1</v>
      </c>
      <c r="U46" s="53" t="b">
        <f ca="1">IFERROR(__xludf.DUMMYFUNCTION("if($G46="""",false, if(isna(match(U$2, split($G46:$G383,"", "",False),0)),false,true))"),FALSE)</f>
        <v>0</v>
      </c>
      <c r="V46" s="53" t="b">
        <f ca="1">IFERROR(__xludf.DUMMYFUNCTION("if($G46="""",false, if(isna(match(V$2, split($G46:$G383,"", "",False),0)),false,true))"),FALSE)</f>
        <v>0</v>
      </c>
      <c r="W46" s="57" t="b">
        <f ca="1">IFERROR(__xludf.DUMMYFUNCTION("if($G46="""",false, if(isna(match(W$2, split($G46:$G383,"", "",False),0)),false,true))"),FALSE)</f>
        <v>0</v>
      </c>
    </row>
    <row r="47" spans="1:23" ht="28">
      <c r="A47" s="47" t="s">
        <v>237</v>
      </c>
      <c r="B47" s="48" t="s">
        <v>62</v>
      </c>
      <c r="C47" s="49" t="s">
        <v>125</v>
      </c>
      <c r="D47" s="50" t="s">
        <v>162</v>
      </c>
      <c r="E47" s="49" t="s">
        <v>224</v>
      </c>
      <c r="F47" s="51" t="s">
        <v>238</v>
      </c>
      <c r="G47" s="59" t="s">
        <v>117</v>
      </c>
      <c r="H47" s="53" t="b">
        <f ca="1">IFERROR(__xludf.DUMMYFUNCTION("if($G47="""",false, if(isna(match(H$2, split($G47:$G383,"", "",False),0)),false,true))"),FALSE)</f>
        <v>0</v>
      </c>
      <c r="I47" s="53" t="b">
        <f ca="1">IFERROR(__xludf.DUMMYFUNCTION("if($G47="""",false, if(isna(match(I$2, split($G47:$G383,"", "",False),0)),false,true))"),FALSE)</f>
        <v>0</v>
      </c>
      <c r="J47" s="53" t="b">
        <f ca="1">IFERROR(__xludf.DUMMYFUNCTION("if($G47="""",false, if(isna(match(J$2, split($G47:$G383,"", "",False),0)),false,true))"),FALSE)</f>
        <v>0</v>
      </c>
      <c r="K47" s="53" t="b">
        <f ca="1">IFERROR(__xludf.DUMMYFUNCTION("if($G47="""",false, if(isna(match(K$2, split($G47:$G383,"", "",False),0)),false,true))"),FALSE)</f>
        <v>0</v>
      </c>
      <c r="L47" s="53" t="b">
        <f ca="1">IFERROR(__xludf.DUMMYFUNCTION("if($G47="""",false, if(isna(match(L$2, split($G47:$G383,"", "",False),0)),false,true))"),FALSE)</f>
        <v>0</v>
      </c>
      <c r="M47" s="53" t="b">
        <f ca="1">IFERROR(__xludf.DUMMYFUNCTION("if($G47="""",false, if(isna(match(M$2, split($G47:$G383,"", "",False),0)),false,true))"),FALSE)</f>
        <v>0</v>
      </c>
      <c r="N47" s="53" t="b">
        <f ca="1">IFERROR(__xludf.DUMMYFUNCTION("if($G47="""",false, if(isna(match(N$2, split($G47:$G383,"", "",False),0)),false,true))"),FALSE)</f>
        <v>0</v>
      </c>
      <c r="O47" s="53" t="b">
        <f ca="1">IFERROR(__xludf.DUMMYFUNCTION("if($G47="""",false, if(isna(match(O$2, split($G47:$G383,"", "",False),0)),false,true))"),FALSE)</f>
        <v>0</v>
      </c>
      <c r="P47" s="53" t="b">
        <f ca="1">IFERROR(__xludf.DUMMYFUNCTION("if($G47="""",false, if(isna(match(P$2, split($G47:$G383,"", "",False),0)),false,true))"),FALSE)</f>
        <v>0</v>
      </c>
      <c r="Q47" s="53" t="b">
        <f ca="1">IFERROR(__xludf.DUMMYFUNCTION("if($G47="""",false, if(isna(match(Q$2, split($G47:$G383,"", "",False),0)),false,true))"),TRUE)</f>
        <v>1</v>
      </c>
      <c r="R47" s="53" t="b">
        <f ca="1">IFERROR(__xludf.DUMMYFUNCTION("if($G47="""",false, if(isna(match(R$2, split($G47:$G383,"", "",False),0)),false,true))"),FALSE)</f>
        <v>0</v>
      </c>
      <c r="S47" s="53" t="b">
        <f ca="1">IFERROR(__xludf.DUMMYFUNCTION("if($G47="""",false, if(isna(match(S$2, split($G47:$G383,"", "",False),0)),false,true))"),FALSE)</f>
        <v>0</v>
      </c>
      <c r="T47" s="53" t="b">
        <f ca="1">IFERROR(__xludf.DUMMYFUNCTION("if($G47="""",false, if(isna(match(T$2, split($G47:$G383,"", "",False),0)),false,true))"),FALSE)</f>
        <v>0</v>
      </c>
      <c r="U47" s="53" t="b">
        <f ca="1">IFERROR(__xludf.DUMMYFUNCTION("if($G47="""",false, if(isna(match(U$2, split($G47:$G383,"", "",False),0)),false,true))"),FALSE)</f>
        <v>0</v>
      </c>
      <c r="V47" s="53" t="b">
        <f ca="1">IFERROR(__xludf.DUMMYFUNCTION("if($G47="""",false, if(isna(match(V$2, split($G47:$G383,"", "",False),0)),false,true))"),FALSE)</f>
        <v>0</v>
      </c>
      <c r="W47" s="57" t="b">
        <f ca="1">IFERROR(__xludf.DUMMYFUNCTION("if($G47="""",false, if(isna(match(W$2, split($G47:$G383,"", "",False),0)),false,true))"),FALSE)</f>
        <v>0</v>
      </c>
    </row>
    <row r="48" spans="1:23" ht="56">
      <c r="A48" s="47" t="s">
        <v>239</v>
      </c>
      <c r="B48" s="48" t="s">
        <v>62</v>
      </c>
      <c r="C48" s="49" t="s">
        <v>240</v>
      </c>
      <c r="D48" s="50" t="s">
        <v>241</v>
      </c>
      <c r="E48" s="49" t="s">
        <v>242</v>
      </c>
      <c r="F48" s="51" t="s">
        <v>243</v>
      </c>
      <c r="G48" s="59" t="s">
        <v>110</v>
      </c>
      <c r="H48" s="53" t="b">
        <f ca="1">IFERROR(__xludf.DUMMYFUNCTION("if($G48="""",false, if(isna(match(H$2, split($G48:$G383,"", "",False),0)),false,true))"),FALSE)</f>
        <v>0</v>
      </c>
      <c r="I48" s="53" t="b">
        <f ca="1">IFERROR(__xludf.DUMMYFUNCTION("if($G48="""",false, if(isna(match(I$2, split($G48:$G383,"", "",False),0)),false,true))"),FALSE)</f>
        <v>0</v>
      </c>
      <c r="J48" s="53" t="b">
        <f ca="1">IFERROR(__xludf.DUMMYFUNCTION("if($G48="""",false, if(isna(match(J$2, split($G48:$G383,"", "",False),0)),false,true))"),TRUE)</f>
        <v>1</v>
      </c>
      <c r="K48" s="53" t="b">
        <f ca="1">IFERROR(__xludf.DUMMYFUNCTION("if($G48="""",false, if(isna(match(K$2, split($G48:$G383,"", "",False),0)),false,true))"),FALSE)</f>
        <v>0</v>
      </c>
      <c r="L48" s="53" t="b">
        <f ca="1">IFERROR(__xludf.DUMMYFUNCTION("if($G48="""",false, if(isna(match(L$2, split($G48:$G383,"", "",False),0)),false,true))"),FALSE)</f>
        <v>0</v>
      </c>
      <c r="M48" s="53" t="b">
        <f ca="1">IFERROR(__xludf.DUMMYFUNCTION("if($G48="""",false, if(isna(match(M$2, split($G48:$G383,"", "",False),0)),false,true))"),FALSE)</f>
        <v>0</v>
      </c>
      <c r="N48" s="53" t="b">
        <f ca="1">IFERROR(__xludf.DUMMYFUNCTION("if($G48="""",false, if(isna(match(N$2, split($G48:$G383,"", "",False),0)),false,true))"),FALSE)</f>
        <v>0</v>
      </c>
      <c r="O48" s="53" t="b">
        <f ca="1">IFERROR(__xludf.DUMMYFUNCTION("if($G48="""",false, if(isna(match(O$2, split($G48:$G383,"", "",False),0)),false,true))"),FALSE)</f>
        <v>0</v>
      </c>
      <c r="P48" s="53" t="b">
        <f ca="1">IFERROR(__xludf.DUMMYFUNCTION("if($G48="""",false, if(isna(match(P$2, split($G48:$G383,"", "",False),0)),false,true))"),FALSE)</f>
        <v>0</v>
      </c>
      <c r="Q48" s="53" t="b">
        <f ca="1">IFERROR(__xludf.DUMMYFUNCTION("if($G48="""",false, if(isna(match(Q$2, split($G48:$G383,"", "",False),0)),false,true))"),FALSE)</f>
        <v>0</v>
      </c>
      <c r="R48" s="53" t="b">
        <f ca="1">IFERROR(__xludf.DUMMYFUNCTION("if($G48="""",false, if(isna(match(R$2, split($G48:$G383,"", "",False),0)),false,true))"),FALSE)</f>
        <v>0</v>
      </c>
      <c r="S48" s="53" t="b">
        <f ca="1">IFERROR(__xludf.DUMMYFUNCTION("if($G48="""",false, if(isna(match(S$2, split($G48:$G383,"", "",False),0)),false,true))"),FALSE)</f>
        <v>0</v>
      </c>
      <c r="T48" s="53" t="b">
        <f ca="1">IFERROR(__xludf.DUMMYFUNCTION("if($G48="""",false, if(isna(match(T$2, split($G48:$G383,"", "",False),0)),false,true))"),FALSE)</f>
        <v>0</v>
      </c>
      <c r="U48" s="53" t="b">
        <f ca="1">IFERROR(__xludf.DUMMYFUNCTION("if($G48="""",false, if(isna(match(U$2, split($G48:$G383,"", "",False),0)),false,true))"),FALSE)</f>
        <v>0</v>
      </c>
      <c r="V48" s="53" t="b">
        <f ca="1">IFERROR(__xludf.DUMMYFUNCTION("if($G48="""",false, if(isna(match(V$2, split($G48:$G383,"", "",False),0)),false,true))"),FALSE)</f>
        <v>0</v>
      </c>
      <c r="W48" s="57" t="b">
        <f ca="1">IFERROR(__xludf.DUMMYFUNCTION("if($G48="""",false, if(isna(match(W$2, split($G48:$G383,"", "",False),0)),false,true))"),FALSE)</f>
        <v>0</v>
      </c>
    </row>
    <row r="49" spans="1:23" ht="28">
      <c r="A49" s="47" t="s">
        <v>244</v>
      </c>
      <c r="B49" s="48" t="s">
        <v>62</v>
      </c>
      <c r="C49" s="49" t="s">
        <v>240</v>
      </c>
      <c r="D49" s="50" t="s">
        <v>241</v>
      </c>
      <c r="E49" s="49" t="s">
        <v>242</v>
      </c>
      <c r="F49" s="51" t="s">
        <v>245</v>
      </c>
      <c r="G49" s="59" t="s">
        <v>110</v>
      </c>
      <c r="H49" s="53" t="b">
        <f ca="1">IFERROR(__xludf.DUMMYFUNCTION("if($G49="""",false, if(isna(match(H$2, split($G49:$G383,"", "",False),0)),false,true))"),FALSE)</f>
        <v>0</v>
      </c>
      <c r="I49" s="53" t="b">
        <f ca="1">IFERROR(__xludf.DUMMYFUNCTION("if($G49="""",false, if(isna(match(I$2, split($G49:$G383,"", "",False),0)),false,true))"),FALSE)</f>
        <v>0</v>
      </c>
      <c r="J49" s="53" t="b">
        <f ca="1">IFERROR(__xludf.DUMMYFUNCTION("if($G49="""",false, if(isna(match(J$2, split($G49:$G383,"", "",False),0)),false,true))"),TRUE)</f>
        <v>1</v>
      </c>
      <c r="K49" s="53" t="b">
        <f ca="1">IFERROR(__xludf.DUMMYFUNCTION("if($G49="""",false, if(isna(match(K$2, split($G49:$G383,"", "",False),0)),false,true))"),FALSE)</f>
        <v>0</v>
      </c>
      <c r="L49" s="53" t="b">
        <f ca="1">IFERROR(__xludf.DUMMYFUNCTION("if($G49="""",false, if(isna(match(L$2, split($G49:$G383,"", "",False),0)),false,true))"),FALSE)</f>
        <v>0</v>
      </c>
      <c r="M49" s="53" t="b">
        <f ca="1">IFERROR(__xludf.DUMMYFUNCTION("if($G49="""",false, if(isna(match(M$2, split($G49:$G383,"", "",False),0)),false,true))"),FALSE)</f>
        <v>0</v>
      </c>
      <c r="N49" s="53" t="b">
        <f ca="1">IFERROR(__xludf.DUMMYFUNCTION("if($G49="""",false, if(isna(match(N$2, split($G49:$G383,"", "",False),0)),false,true))"),FALSE)</f>
        <v>0</v>
      </c>
      <c r="O49" s="53" t="b">
        <f ca="1">IFERROR(__xludf.DUMMYFUNCTION("if($G49="""",false, if(isna(match(O$2, split($G49:$G383,"", "",False),0)),false,true))"),FALSE)</f>
        <v>0</v>
      </c>
      <c r="P49" s="53" t="b">
        <f ca="1">IFERROR(__xludf.DUMMYFUNCTION("if($G49="""",false, if(isna(match(P$2, split($G49:$G383,"", "",False),0)),false,true))"),FALSE)</f>
        <v>0</v>
      </c>
      <c r="Q49" s="53" t="b">
        <f ca="1">IFERROR(__xludf.DUMMYFUNCTION("if($G49="""",false, if(isna(match(Q$2, split($G49:$G383,"", "",False),0)),false,true))"),FALSE)</f>
        <v>0</v>
      </c>
      <c r="R49" s="53" t="b">
        <f ca="1">IFERROR(__xludf.DUMMYFUNCTION("if($G49="""",false, if(isna(match(R$2, split($G49:$G383,"", "",False),0)),false,true))"),FALSE)</f>
        <v>0</v>
      </c>
      <c r="S49" s="53" t="b">
        <f ca="1">IFERROR(__xludf.DUMMYFUNCTION("if($G49="""",false, if(isna(match(S$2, split($G49:$G383,"", "",False),0)),false,true))"),FALSE)</f>
        <v>0</v>
      </c>
      <c r="T49" s="53" t="b">
        <f ca="1">IFERROR(__xludf.DUMMYFUNCTION("if($G49="""",false, if(isna(match(T$2, split($G49:$G383,"", "",False),0)),false,true))"),FALSE)</f>
        <v>0</v>
      </c>
      <c r="U49" s="53" t="b">
        <f ca="1">IFERROR(__xludf.DUMMYFUNCTION("if($G49="""",false, if(isna(match(U$2, split($G49:$G383,"", "",False),0)),false,true))"),FALSE)</f>
        <v>0</v>
      </c>
      <c r="V49" s="53" t="b">
        <f ca="1">IFERROR(__xludf.DUMMYFUNCTION("if($G49="""",false, if(isna(match(V$2, split($G49:$G383,"", "",False),0)),false,true))"),FALSE)</f>
        <v>0</v>
      </c>
      <c r="W49" s="57" t="b">
        <f ca="1">IFERROR(__xludf.DUMMYFUNCTION("if($G49="""",false, if(isna(match(W$2, split($G49:$G383,"", "",False),0)),false,true))"),FALSE)</f>
        <v>0</v>
      </c>
    </row>
    <row r="50" spans="1:23" ht="28">
      <c r="A50" s="47" t="s">
        <v>246</v>
      </c>
      <c r="B50" s="48" t="s">
        <v>62</v>
      </c>
      <c r="C50" s="49" t="s">
        <v>240</v>
      </c>
      <c r="D50" s="50" t="s">
        <v>241</v>
      </c>
      <c r="E50" s="49" t="s">
        <v>242</v>
      </c>
      <c r="F50" s="51" t="s">
        <v>247</v>
      </c>
      <c r="G50" s="59" t="s">
        <v>110</v>
      </c>
      <c r="H50" s="53" t="b">
        <f ca="1">IFERROR(__xludf.DUMMYFUNCTION("if($G50="""",false, if(isna(match(H$2, split($G50:$G383,"", "",False),0)),false,true))"),FALSE)</f>
        <v>0</v>
      </c>
      <c r="I50" s="53" t="b">
        <f ca="1">IFERROR(__xludf.DUMMYFUNCTION("if($G50="""",false, if(isna(match(I$2, split($G50:$G383,"", "",False),0)),false,true))"),FALSE)</f>
        <v>0</v>
      </c>
      <c r="J50" s="53" t="b">
        <f ca="1">IFERROR(__xludf.DUMMYFUNCTION("if($G50="""",false, if(isna(match(J$2, split($G50:$G383,"", "",False),0)),false,true))"),TRUE)</f>
        <v>1</v>
      </c>
      <c r="K50" s="53" t="b">
        <f ca="1">IFERROR(__xludf.DUMMYFUNCTION("if($G50="""",false, if(isna(match(K$2, split($G50:$G383,"", "",False),0)),false,true))"),FALSE)</f>
        <v>0</v>
      </c>
      <c r="L50" s="53" t="b">
        <f ca="1">IFERROR(__xludf.DUMMYFUNCTION("if($G50="""",false, if(isna(match(L$2, split($G50:$G383,"", "",False),0)),false,true))"),FALSE)</f>
        <v>0</v>
      </c>
      <c r="M50" s="53" t="b">
        <f ca="1">IFERROR(__xludf.DUMMYFUNCTION("if($G50="""",false, if(isna(match(M$2, split($G50:$G383,"", "",False),0)),false,true))"),FALSE)</f>
        <v>0</v>
      </c>
      <c r="N50" s="53" t="b">
        <f ca="1">IFERROR(__xludf.DUMMYFUNCTION("if($G50="""",false, if(isna(match(N$2, split($G50:$G383,"", "",False),0)),false,true))"),FALSE)</f>
        <v>0</v>
      </c>
      <c r="O50" s="53" t="b">
        <f ca="1">IFERROR(__xludf.DUMMYFUNCTION("if($G50="""",false, if(isna(match(O$2, split($G50:$G383,"", "",False),0)),false,true))"),FALSE)</f>
        <v>0</v>
      </c>
      <c r="P50" s="53" t="b">
        <f ca="1">IFERROR(__xludf.DUMMYFUNCTION("if($G50="""",false, if(isna(match(P$2, split($G50:$G383,"", "",False),0)),false,true))"),FALSE)</f>
        <v>0</v>
      </c>
      <c r="Q50" s="53" t="b">
        <f ca="1">IFERROR(__xludf.DUMMYFUNCTION("if($G50="""",false, if(isna(match(Q$2, split($G50:$G383,"", "",False),0)),false,true))"),FALSE)</f>
        <v>0</v>
      </c>
      <c r="R50" s="53" t="b">
        <f ca="1">IFERROR(__xludf.DUMMYFUNCTION("if($G50="""",false, if(isna(match(R$2, split($G50:$G383,"", "",False),0)),false,true))"),FALSE)</f>
        <v>0</v>
      </c>
      <c r="S50" s="53" t="b">
        <f ca="1">IFERROR(__xludf.DUMMYFUNCTION("if($G50="""",false, if(isna(match(S$2, split($G50:$G383,"", "",False),0)),false,true))"),FALSE)</f>
        <v>0</v>
      </c>
      <c r="T50" s="53" t="b">
        <f ca="1">IFERROR(__xludf.DUMMYFUNCTION("if($G50="""",false, if(isna(match(T$2, split($G50:$G383,"", "",False),0)),false,true))"),FALSE)</f>
        <v>0</v>
      </c>
      <c r="U50" s="53" t="b">
        <f ca="1">IFERROR(__xludf.DUMMYFUNCTION("if($G50="""",false, if(isna(match(U$2, split($G50:$G383,"", "",False),0)),false,true))"),FALSE)</f>
        <v>0</v>
      </c>
      <c r="V50" s="53" t="b">
        <f ca="1">IFERROR(__xludf.DUMMYFUNCTION("if($G50="""",false, if(isna(match(V$2, split($G50:$G383,"", "",False),0)),false,true))"),FALSE)</f>
        <v>0</v>
      </c>
      <c r="W50" s="57" t="b">
        <f ca="1">IFERROR(__xludf.DUMMYFUNCTION("if($G50="""",false, if(isna(match(W$2, split($G50:$G383,"", "",False),0)),false,true))"),FALSE)</f>
        <v>0</v>
      </c>
    </row>
    <row r="51" spans="1:23" ht="28">
      <c r="A51" s="47" t="s">
        <v>248</v>
      </c>
      <c r="B51" s="48" t="s">
        <v>62</v>
      </c>
      <c r="C51" s="49" t="s">
        <v>240</v>
      </c>
      <c r="D51" s="50" t="s">
        <v>241</v>
      </c>
      <c r="E51" s="49" t="s">
        <v>249</v>
      </c>
      <c r="F51" s="51" t="s">
        <v>250</v>
      </c>
      <c r="G51" s="59" t="s">
        <v>251</v>
      </c>
      <c r="H51" s="53" t="b">
        <f ca="1">IFERROR(__xludf.DUMMYFUNCTION("if($G51="""",false, if(isna(match(H$2, split($G51:$G383,"", "",False),0)),false,true))"),FALSE)</f>
        <v>0</v>
      </c>
      <c r="I51" s="53" t="b">
        <f ca="1">IFERROR(__xludf.DUMMYFUNCTION("if($G51="""",false, if(isna(match(I$2, split($G51:$G383,"", "",False),0)),false,true))"),FALSE)</f>
        <v>0</v>
      </c>
      <c r="J51" s="53" t="b">
        <f ca="1">IFERROR(__xludf.DUMMYFUNCTION("if($G51="""",false, if(isna(match(J$2, split($G51:$G383,"", "",False),0)),false,true))"),FALSE)</f>
        <v>0</v>
      </c>
      <c r="K51" s="53" t="b">
        <f ca="1">IFERROR(__xludf.DUMMYFUNCTION("if($G51="""",false, if(isna(match(K$2, split($G51:$G383,"", "",False),0)),false,true))"),FALSE)</f>
        <v>0</v>
      </c>
      <c r="L51" s="53" t="b">
        <f ca="1">IFERROR(__xludf.DUMMYFUNCTION("if($G51="""",false, if(isna(match(L$2, split($G51:$G383,"", "",False),0)),false,true))"),FALSE)</f>
        <v>0</v>
      </c>
      <c r="M51" s="53" t="b">
        <f ca="1">IFERROR(__xludf.DUMMYFUNCTION("if($G51="""",false, if(isna(match(M$2, split($G51:$G383,"", "",False),0)),false,true))"),FALSE)</f>
        <v>0</v>
      </c>
      <c r="N51" s="53" t="b">
        <f ca="1">IFERROR(__xludf.DUMMYFUNCTION("if($G51="""",false, if(isna(match(N$2, split($G51:$G383,"", "",False),0)),false,true))"),FALSE)</f>
        <v>0</v>
      </c>
      <c r="O51" s="53" t="b">
        <f ca="1">IFERROR(__xludf.DUMMYFUNCTION("if($G51="""",false, if(isna(match(O$2, split($G51:$G383,"", "",False),0)),false,true))"),FALSE)</f>
        <v>0</v>
      </c>
      <c r="P51" s="53" t="b">
        <f ca="1">IFERROR(__xludf.DUMMYFUNCTION("if($G51="""",false, if(isna(match(P$2, split($G51:$G383,"", "",False),0)),false,true))"),FALSE)</f>
        <v>0</v>
      </c>
      <c r="Q51" s="53" t="b">
        <f ca="1">IFERROR(__xludf.DUMMYFUNCTION("if($G51="""",false, if(isna(match(Q$2, split($G51:$G383,"", "",False),0)),false,true))"),FALSE)</f>
        <v>0</v>
      </c>
      <c r="R51" s="53" t="b">
        <f ca="1">IFERROR(__xludf.DUMMYFUNCTION("if($G51="""",false, if(isna(match(R$2, split($G51:$G383,"", "",False),0)),false,true))"),FALSE)</f>
        <v>0</v>
      </c>
      <c r="S51" s="53" t="b">
        <f ca="1">IFERROR(__xludf.DUMMYFUNCTION("if($G51="""",false, if(isna(match(S$2, split($G51:$G383,"", "",False),0)),false,true))"),FALSE)</f>
        <v>0</v>
      </c>
      <c r="T51" s="53" t="b">
        <f ca="1">IFERROR(__xludf.DUMMYFUNCTION("if($G51="""",false, if(isna(match(T$2, split($G51:$G383,"", "",False),0)),false,true))"),FALSE)</f>
        <v>0</v>
      </c>
      <c r="U51" s="53" t="b">
        <f ca="1">IFERROR(__xludf.DUMMYFUNCTION("if($G51="""",false, if(isna(match(U$2, split($G51:$G383,"", "",False),0)),false,true))"),FALSE)</f>
        <v>0</v>
      </c>
      <c r="V51" s="53" t="b">
        <f ca="1">IFERROR(__xludf.DUMMYFUNCTION("if($G51="""",false, if(isna(match(V$2, split($G51:$G383,"", "",False),0)),false,true))"),FALSE)</f>
        <v>0</v>
      </c>
      <c r="W51" s="57" t="b">
        <f ca="1">IFERROR(__xludf.DUMMYFUNCTION("if($G51="""",false, if(isna(match(W$2, split($G51:$G383,"", "",False),0)),false,true))"),FALSE)</f>
        <v>0</v>
      </c>
    </row>
    <row r="52" spans="1:23" ht="28">
      <c r="A52" s="47" t="s">
        <v>252</v>
      </c>
      <c r="B52" s="48" t="s">
        <v>62</v>
      </c>
      <c r="C52" s="49" t="s">
        <v>240</v>
      </c>
      <c r="D52" s="50" t="s">
        <v>241</v>
      </c>
      <c r="E52" s="49" t="s">
        <v>249</v>
      </c>
      <c r="F52" s="51" t="s">
        <v>253</v>
      </c>
      <c r="G52" s="59" t="s">
        <v>110</v>
      </c>
      <c r="H52" s="53" t="b">
        <f ca="1">IFERROR(__xludf.DUMMYFUNCTION("if($G52="""",false, if(isna(match(H$2, split($G52:$G383,"", "",False),0)),false,true))"),FALSE)</f>
        <v>0</v>
      </c>
      <c r="I52" s="53" t="b">
        <f ca="1">IFERROR(__xludf.DUMMYFUNCTION("if($G52="""",false, if(isna(match(I$2, split($G52:$G383,"", "",False),0)),false,true))"),FALSE)</f>
        <v>0</v>
      </c>
      <c r="J52" s="53" t="b">
        <f ca="1">IFERROR(__xludf.DUMMYFUNCTION("if($G52="""",false, if(isna(match(J$2, split($G52:$G383,"", "",False),0)),false,true))"),TRUE)</f>
        <v>1</v>
      </c>
      <c r="K52" s="53" t="b">
        <f ca="1">IFERROR(__xludf.DUMMYFUNCTION("if($G52="""",false, if(isna(match(K$2, split($G52:$G383,"", "",False),0)),false,true))"),FALSE)</f>
        <v>0</v>
      </c>
      <c r="L52" s="53" t="b">
        <f ca="1">IFERROR(__xludf.DUMMYFUNCTION("if($G52="""",false, if(isna(match(L$2, split($G52:$G383,"", "",False),0)),false,true))"),FALSE)</f>
        <v>0</v>
      </c>
      <c r="M52" s="53" t="b">
        <f ca="1">IFERROR(__xludf.DUMMYFUNCTION("if($G52="""",false, if(isna(match(M$2, split($G52:$G383,"", "",False),0)),false,true))"),FALSE)</f>
        <v>0</v>
      </c>
      <c r="N52" s="53" t="b">
        <f ca="1">IFERROR(__xludf.DUMMYFUNCTION("if($G52="""",false, if(isna(match(N$2, split($G52:$G383,"", "",False),0)),false,true))"),FALSE)</f>
        <v>0</v>
      </c>
      <c r="O52" s="53" t="b">
        <f ca="1">IFERROR(__xludf.DUMMYFUNCTION("if($G52="""",false, if(isna(match(O$2, split($G52:$G383,"", "",False),0)),false,true))"),FALSE)</f>
        <v>0</v>
      </c>
      <c r="P52" s="53" t="b">
        <f ca="1">IFERROR(__xludf.DUMMYFUNCTION("if($G52="""",false, if(isna(match(P$2, split($G52:$G383,"", "",False),0)),false,true))"),FALSE)</f>
        <v>0</v>
      </c>
      <c r="Q52" s="53" t="b">
        <f ca="1">IFERROR(__xludf.DUMMYFUNCTION("if($G52="""",false, if(isna(match(Q$2, split($G52:$G383,"", "",False),0)),false,true))"),FALSE)</f>
        <v>0</v>
      </c>
      <c r="R52" s="53" t="b">
        <f ca="1">IFERROR(__xludf.DUMMYFUNCTION("if($G52="""",false, if(isna(match(R$2, split($G52:$G383,"", "",False),0)),false,true))"),FALSE)</f>
        <v>0</v>
      </c>
      <c r="S52" s="53" t="b">
        <f ca="1">IFERROR(__xludf.DUMMYFUNCTION("if($G52="""",false, if(isna(match(S$2, split($G52:$G383,"", "",False),0)),false,true))"),FALSE)</f>
        <v>0</v>
      </c>
      <c r="T52" s="53" t="b">
        <f ca="1">IFERROR(__xludf.DUMMYFUNCTION("if($G52="""",false, if(isna(match(T$2, split($G52:$G383,"", "",False),0)),false,true))"),FALSE)</f>
        <v>0</v>
      </c>
      <c r="U52" s="53" t="b">
        <f ca="1">IFERROR(__xludf.DUMMYFUNCTION("if($G52="""",false, if(isna(match(U$2, split($G52:$G383,"", "",False),0)),false,true))"),FALSE)</f>
        <v>0</v>
      </c>
      <c r="V52" s="53" t="b">
        <f ca="1">IFERROR(__xludf.DUMMYFUNCTION("if($G52="""",false, if(isna(match(V$2, split($G52:$G383,"", "",False),0)),false,true))"),FALSE)</f>
        <v>0</v>
      </c>
      <c r="W52" s="57" t="b">
        <f ca="1">IFERROR(__xludf.DUMMYFUNCTION("if($G52="""",false, if(isna(match(W$2, split($G52:$G383,"", "",False),0)),false,true))"),FALSE)</f>
        <v>0</v>
      </c>
    </row>
    <row r="53" spans="1:23" ht="56">
      <c r="A53" s="47" t="s">
        <v>254</v>
      </c>
      <c r="B53" s="48" t="s">
        <v>62</v>
      </c>
      <c r="C53" s="49" t="s">
        <v>240</v>
      </c>
      <c r="D53" s="50" t="s">
        <v>241</v>
      </c>
      <c r="E53" s="49" t="s">
        <v>249</v>
      </c>
      <c r="F53" s="51" t="s">
        <v>255</v>
      </c>
      <c r="G53" s="59" t="s">
        <v>110</v>
      </c>
      <c r="H53" s="53" t="b">
        <f ca="1">IFERROR(__xludf.DUMMYFUNCTION("if($G53="""",false, if(isna(match(H$2, split($G53:$G383,"", "",False),0)),false,true))"),FALSE)</f>
        <v>0</v>
      </c>
      <c r="I53" s="53" t="b">
        <f ca="1">IFERROR(__xludf.DUMMYFUNCTION("if($G53="""",false, if(isna(match(I$2, split($G53:$G383,"", "",False),0)),false,true))"),FALSE)</f>
        <v>0</v>
      </c>
      <c r="J53" s="53" t="b">
        <f ca="1">IFERROR(__xludf.DUMMYFUNCTION("if($G53="""",false, if(isna(match(J$2, split($G53:$G383,"", "",False),0)),false,true))"),TRUE)</f>
        <v>1</v>
      </c>
      <c r="K53" s="53" t="b">
        <f ca="1">IFERROR(__xludf.DUMMYFUNCTION("if($G53="""",false, if(isna(match(K$2, split($G53:$G383,"", "",False),0)),false,true))"),FALSE)</f>
        <v>0</v>
      </c>
      <c r="L53" s="53" t="b">
        <f ca="1">IFERROR(__xludf.DUMMYFUNCTION("if($G53="""",false, if(isna(match(L$2, split($G53:$G383,"", "",False),0)),false,true))"),FALSE)</f>
        <v>0</v>
      </c>
      <c r="M53" s="53" t="b">
        <f ca="1">IFERROR(__xludf.DUMMYFUNCTION("if($G53="""",false, if(isna(match(M$2, split($G53:$G383,"", "",False),0)),false,true))"),FALSE)</f>
        <v>0</v>
      </c>
      <c r="N53" s="53" t="b">
        <f ca="1">IFERROR(__xludf.DUMMYFUNCTION("if($G53="""",false, if(isna(match(N$2, split($G53:$G383,"", "",False),0)),false,true))"),FALSE)</f>
        <v>0</v>
      </c>
      <c r="O53" s="53" t="b">
        <f ca="1">IFERROR(__xludf.DUMMYFUNCTION("if($G53="""",false, if(isna(match(O$2, split($G53:$G383,"", "",False),0)),false,true))"),FALSE)</f>
        <v>0</v>
      </c>
      <c r="P53" s="53" t="b">
        <f ca="1">IFERROR(__xludf.DUMMYFUNCTION("if($G53="""",false, if(isna(match(P$2, split($G53:$G383,"", "",False),0)),false,true))"),FALSE)</f>
        <v>0</v>
      </c>
      <c r="Q53" s="53" t="b">
        <f ca="1">IFERROR(__xludf.DUMMYFUNCTION("if($G53="""",false, if(isna(match(Q$2, split($G53:$G383,"", "",False),0)),false,true))"),FALSE)</f>
        <v>0</v>
      </c>
      <c r="R53" s="53" t="b">
        <f ca="1">IFERROR(__xludf.DUMMYFUNCTION("if($G53="""",false, if(isna(match(R$2, split($G53:$G383,"", "",False),0)),false,true))"),FALSE)</f>
        <v>0</v>
      </c>
      <c r="S53" s="53" t="b">
        <f ca="1">IFERROR(__xludf.DUMMYFUNCTION("if($G53="""",false, if(isna(match(S$2, split($G53:$G383,"", "",False),0)),false,true))"),FALSE)</f>
        <v>0</v>
      </c>
      <c r="T53" s="53" t="b">
        <f ca="1">IFERROR(__xludf.DUMMYFUNCTION("if($G53="""",false, if(isna(match(T$2, split($G53:$G383,"", "",False),0)),false,true))"),FALSE)</f>
        <v>0</v>
      </c>
      <c r="U53" s="53" t="b">
        <f ca="1">IFERROR(__xludf.DUMMYFUNCTION("if($G53="""",false, if(isna(match(U$2, split($G53:$G383,"", "",False),0)),false,true))"),FALSE)</f>
        <v>0</v>
      </c>
      <c r="V53" s="53" t="b">
        <f ca="1">IFERROR(__xludf.DUMMYFUNCTION("if($G53="""",false, if(isna(match(V$2, split($G53:$G383,"", "",False),0)),false,true))"),FALSE)</f>
        <v>0</v>
      </c>
      <c r="W53" s="57" t="b">
        <f ca="1">IFERROR(__xludf.DUMMYFUNCTION("if($G53="""",false, if(isna(match(W$2, split($G53:$G383,"", "",False),0)),false,true))"),FALSE)</f>
        <v>0</v>
      </c>
    </row>
    <row r="54" spans="1:23" ht="42">
      <c r="A54" s="47" t="s">
        <v>256</v>
      </c>
      <c r="B54" s="48" t="s">
        <v>62</v>
      </c>
      <c r="C54" s="49" t="s">
        <v>240</v>
      </c>
      <c r="D54" s="50" t="s">
        <v>241</v>
      </c>
      <c r="E54" s="49" t="s">
        <v>257</v>
      </c>
      <c r="F54" s="51" t="s">
        <v>258</v>
      </c>
      <c r="G54" s="59" t="s">
        <v>110</v>
      </c>
      <c r="H54" s="53" t="b">
        <f ca="1">IFERROR(__xludf.DUMMYFUNCTION("if($G54="""",false, if(isna(match(H$2, split($G54:$G383,"", "",False),0)),false,true))"),FALSE)</f>
        <v>0</v>
      </c>
      <c r="I54" s="53" t="b">
        <f ca="1">IFERROR(__xludf.DUMMYFUNCTION("if($G54="""",false, if(isna(match(I$2, split($G54:$G383,"", "",False),0)),false,true))"),FALSE)</f>
        <v>0</v>
      </c>
      <c r="J54" s="53" t="b">
        <f ca="1">IFERROR(__xludf.DUMMYFUNCTION("if($G54="""",false, if(isna(match(J$2, split($G54:$G383,"", "",False),0)),false,true))"),TRUE)</f>
        <v>1</v>
      </c>
      <c r="K54" s="53" t="b">
        <f ca="1">IFERROR(__xludf.DUMMYFUNCTION("if($G54="""",false, if(isna(match(K$2, split($G54:$G383,"", "",False),0)),false,true))"),FALSE)</f>
        <v>0</v>
      </c>
      <c r="L54" s="53" t="b">
        <f ca="1">IFERROR(__xludf.DUMMYFUNCTION("if($G54="""",false, if(isna(match(L$2, split($G54:$G383,"", "",False),0)),false,true))"),FALSE)</f>
        <v>0</v>
      </c>
      <c r="M54" s="53" t="b">
        <f ca="1">IFERROR(__xludf.DUMMYFUNCTION("if($G54="""",false, if(isna(match(M$2, split($G54:$G383,"", "",False),0)),false,true))"),FALSE)</f>
        <v>0</v>
      </c>
      <c r="N54" s="53" t="b">
        <f ca="1">IFERROR(__xludf.DUMMYFUNCTION("if($G54="""",false, if(isna(match(N$2, split($G54:$G383,"", "",False),0)),false,true))"),FALSE)</f>
        <v>0</v>
      </c>
      <c r="O54" s="53" t="b">
        <f ca="1">IFERROR(__xludf.DUMMYFUNCTION("if($G54="""",false, if(isna(match(O$2, split($G54:$G383,"", "",False),0)),false,true))"),FALSE)</f>
        <v>0</v>
      </c>
      <c r="P54" s="53" t="b">
        <f ca="1">IFERROR(__xludf.DUMMYFUNCTION("if($G54="""",false, if(isna(match(P$2, split($G54:$G383,"", "",False),0)),false,true))"),FALSE)</f>
        <v>0</v>
      </c>
      <c r="Q54" s="53" t="b">
        <f ca="1">IFERROR(__xludf.DUMMYFUNCTION("if($G54="""",false, if(isna(match(Q$2, split($G54:$G383,"", "",False),0)),false,true))"),FALSE)</f>
        <v>0</v>
      </c>
      <c r="R54" s="53" t="b">
        <f ca="1">IFERROR(__xludf.DUMMYFUNCTION("if($G54="""",false, if(isna(match(R$2, split($G54:$G383,"", "",False),0)),false,true))"),FALSE)</f>
        <v>0</v>
      </c>
      <c r="S54" s="53" t="b">
        <f ca="1">IFERROR(__xludf.DUMMYFUNCTION("if($G54="""",false, if(isna(match(S$2, split($G54:$G383,"", "",False),0)),false,true))"),FALSE)</f>
        <v>0</v>
      </c>
      <c r="T54" s="53" t="b">
        <f ca="1">IFERROR(__xludf.DUMMYFUNCTION("if($G54="""",false, if(isna(match(T$2, split($G54:$G383,"", "",False),0)),false,true))"),FALSE)</f>
        <v>0</v>
      </c>
      <c r="U54" s="53" t="b">
        <f ca="1">IFERROR(__xludf.DUMMYFUNCTION("if($G54="""",false, if(isna(match(U$2, split($G54:$G383,"", "",False),0)),false,true))"),FALSE)</f>
        <v>0</v>
      </c>
      <c r="V54" s="53" t="b">
        <f ca="1">IFERROR(__xludf.DUMMYFUNCTION("if($G54="""",false, if(isna(match(V$2, split($G54:$G383,"", "",False),0)),false,true))"),FALSE)</f>
        <v>0</v>
      </c>
      <c r="W54" s="57" t="b">
        <f ca="1">IFERROR(__xludf.DUMMYFUNCTION("if($G54="""",false, if(isna(match(W$2, split($G54:$G383,"", "",False),0)),false,true))"),FALSE)</f>
        <v>0</v>
      </c>
    </row>
    <row r="55" spans="1:23" ht="168">
      <c r="A55" s="47" t="s">
        <v>259</v>
      </c>
      <c r="B55" s="48" t="s">
        <v>62</v>
      </c>
      <c r="C55" s="49" t="s">
        <v>240</v>
      </c>
      <c r="D55" s="50" t="s">
        <v>241</v>
      </c>
      <c r="E55" s="49" t="s">
        <v>257</v>
      </c>
      <c r="F55" s="51" t="s">
        <v>260</v>
      </c>
      <c r="G55" s="59" t="s">
        <v>110</v>
      </c>
      <c r="H55" s="53" t="b">
        <f ca="1">IFERROR(__xludf.DUMMYFUNCTION("if($G55="""",false, if(isna(match(H$2, split($G55:$G383,"", "",False),0)),false,true))"),FALSE)</f>
        <v>0</v>
      </c>
      <c r="I55" s="53" t="b">
        <f ca="1">IFERROR(__xludf.DUMMYFUNCTION("if($G55="""",false, if(isna(match(I$2, split($G55:$G383,"", "",False),0)),false,true))"),FALSE)</f>
        <v>0</v>
      </c>
      <c r="J55" s="53" t="b">
        <f ca="1">IFERROR(__xludf.DUMMYFUNCTION("if($G55="""",false, if(isna(match(J$2, split($G55:$G383,"", "",False),0)),false,true))"),TRUE)</f>
        <v>1</v>
      </c>
      <c r="K55" s="53" t="b">
        <f ca="1">IFERROR(__xludf.DUMMYFUNCTION("if($G55="""",false, if(isna(match(K$2, split($G55:$G383,"", "",False),0)),false,true))"),FALSE)</f>
        <v>0</v>
      </c>
      <c r="L55" s="53" t="b">
        <f ca="1">IFERROR(__xludf.DUMMYFUNCTION("if($G55="""",false, if(isna(match(L$2, split($G55:$G383,"", "",False),0)),false,true))"),FALSE)</f>
        <v>0</v>
      </c>
      <c r="M55" s="53" t="b">
        <f ca="1">IFERROR(__xludf.DUMMYFUNCTION("if($G55="""",false, if(isna(match(M$2, split($G55:$G383,"", "",False),0)),false,true))"),FALSE)</f>
        <v>0</v>
      </c>
      <c r="N55" s="53" t="b">
        <f ca="1">IFERROR(__xludf.DUMMYFUNCTION("if($G55="""",false, if(isna(match(N$2, split($G55:$G383,"", "",False),0)),false,true))"),FALSE)</f>
        <v>0</v>
      </c>
      <c r="O55" s="53" t="b">
        <f ca="1">IFERROR(__xludf.DUMMYFUNCTION("if($G55="""",false, if(isna(match(O$2, split($G55:$G383,"", "",False),0)),false,true))"),FALSE)</f>
        <v>0</v>
      </c>
      <c r="P55" s="53" t="b">
        <f ca="1">IFERROR(__xludf.DUMMYFUNCTION("if($G55="""",false, if(isna(match(P$2, split($G55:$G383,"", "",False),0)),false,true))"),FALSE)</f>
        <v>0</v>
      </c>
      <c r="Q55" s="53" t="b">
        <f ca="1">IFERROR(__xludf.DUMMYFUNCTION("if($G55="""",false, if(isna(match(Q$2, split($G55:$G383,"", "",False),0)),false,true))"),FALSE)</f>
        <v>0</v>
      </c>
      <c r="R55" s="53" t="b">
        <f ca="1">IFERROR(__xludf.DUMMYFUNCTION("if($G55="""",false, if(isna(match(R$2, split($G55:$G383,"", "",False),0)),false,true))"),FALSE)</f>
        <v>0</v>
      </c>
      <c r="S55" s="53" t="b">
        <f ca="1">IFERROR(__xludf.DUMMYFUNCTION("if($G55="""",false, if(isna(match(S$2, split($G55:$G383,"", "",False),0)),false,true))"),FALSE)</f>
        <v>0</v>
      </c>
      <c r="T55" s="53" t="b">
        <f ca="1">IFERROR(__xludf.DUMMYFUNCTION("if($G55="""",false, if(isna(match(T$2, split($G55:$G383,"", "",False),0)),false,true))"),FALSE)</f>
        <v>0</v>
      </c>
      <c r="U55" s="53" t="b">
        <f ca="1">IFERROR(__xludf.DUMMYFUNCTION("if($G55="""",false, if(isna(match(U$2, split($G55:$G383,"", "",False),0)),false,true))"),FALSE)</f>
        <v>0</v>
      </c>
      <c r="V55" s="53" t="b">
        <f ca="1">IFERROR(__xludf.DUMMYFUNCTION("if($G55="""",false, if(isna(match(V$2, split($G55:$G383,"", "",False),0)),false,true))"),FALSE)</f>
        <v>0</v>
      </c>
      <c r="W55" s="57" t="b">
        <f ca="1">IFERROR(__xludf.DUMMYFUNCTION("if($G55="""",false, if(isna(match(W$2, split($G55:$G383,"", "",False),0)),false,true))"),FALSE)</f>
        <v>0</v>
      </c>
    </row>
    <row r="56" spans="1:23" ht="28">
      <c r="A56" s="47" t="s">
        <v>261</v>
      </c>
      <c r="B56" s="48" t="s">
        <v>62</v>
      </c>
      <c r="C56" s="49" t="s">
        <v>240</v>
      </c>
      <c r="D56" s="50" t="s">
        <v>241</v>
      </c>
      <c r="E56" s="49" t="s">
        <v>262</v>
      </c>
      <c r="F56" s="51" t="s">
        <v>263</v>
      </c>
      <c r="G56" s="59" t="s">
        <v>110</v>
      </c>
      <c r="H56" s="53" t="b">
        <f ca="1">IFERROR(__xludf.DUMMYFUNCTION("if($G56="""",false, if(isna(match(H$2, split($G56:$G383,"", "",False),0)),false,true))"),FALSE)</f>
        <v>0</v>
      </c>
      <c r="I56" s="53" t="b">
        <f ca="1">IFERROR(__xludf.DUMMYFUNCTION("if($G56="""",false, if(isna(match(I$2, split($G56:$G383,"", "",False),0)),false,true))"),FALSE)</f>
        <v>0</v>
      </c>
      <c r="J56" s="53" t="b">
        <f ca="1">IFERROR(__xludf.DUMMYFUNCTION("if($G56="""",false, if(isna(match(J$2, split($G56:$G383,"", "",False),0)),false,true))"),TRUE)</f>
        <v>1</v>
      </c>
      <c r="K56" s="53" t="b">
        <f ca="1">IFERROR(__xludf.DUMMYFUNCTION("if($G56="""",false, if(isna(match(K$2, split($G56:$G383,"", "",False),0)),false,true))"),FALSE)</f>
        <v>0</v>
      </c>
      <c r="L56" s="53" t="b">
        <f ca="1">IFERROR(__xludf.DUMMYFUNCTION("if($G56="""",false, if(isna(match(L$2, split($G56:$G383,"", "",False),0)),false,true))"),FALSE)</f>
        <v>0</v>
      </c>
      <c r="M56" s="53" t="b">
        <f ca="1">IFERROR(__xludf.DUMMYFUNCTION("if($G56="""",false, if(isna(match(M$2, split($G56:$G383,"", "",False),0)),false,true))"),FALSE)</f>
        <v>0</v>
      </c>
      <c r="N56" s="53" t="b">
        <f ca="1">IFERROR(__xludf.DUMMYFUNCTION("if($G56="""",false, if(isna(match(N$2, split($G56:$G383,"", "",False),0)),false,true))"),FALSE)</f>
        <v>0</v>
      </c>
      <c r="O56" s="53" t="b">
        <f ca="1">IFERROR(__xludf.DUMMYFUNCTION("if($G56="""",false, if(isna(match(O$2, split($G56:$G383,"", "",False),0)),false,true))"),FALSE)</f>
        <v>0</v>
      </c>
      <c r="P56" s="53" t="b">
        <f ca="1">IFERROR(__xludf.DUMMYFUNCTION("if($G56="""",false, if(isna(match(P$2, split($G56:$G383,"", "",False),0)),false,true))"),FALSE)</f>
        <v>0</v>
      </c>
      <c r="Q56" s="53" t="b">
        <f ca="1">IFERROR(__xludf.DUMMYFUNCTION("if($G56="""",false, if(isna(match(Q$2, split($G56:$G383,"", "",False),0)),false,true))"),FALSE)</f>
        <v>0</v>
      </c>
      <c r="R56" s="53" t="b">
        <f ca="1">IFERROR(__xludf.DUMMYFUNCTION("if($G56="""",false, if(isna(match(R$2, split($G56:$G383,"", "",False),0)),false,true))"),FALSE)</f>
        <v>0</v>
      </c>
      <c r="S56" s="53" t="b">
        <f ca="1">IFERROR(__xludf.DUMMYFUNCTION("if($G56="""",false, if(isna(match(S$2, split($G56:$G383,"", "",False),0)),false,true))"),FALSE)</f>
        <v>0</v>
      </c>
      <c r="T56" s="53" t="b">
        <f ca="1">IFERROR(__xludf.DUMMYFUNCTION("if($G56="""",false, if(isna(match(T$2, split($G56:$G383,"", "",False),0)),false,true))"),FALSE)</f>
        <v>0</v>
      </c>
      <c r="U56" s="53" t="b">
        <f ca="1">IFERROR(__xludf.DUMMYFUNCTION("if($G56="""",false, if(isna(match(U$2, split($G56:$G383,"", "",False),0)),false,true))"),FALSE)</f>
        <v>0</v>
      </c>
      <c r="V56" s="53" t="b">
        <f ca="1">IFERROR(__xludf.DUMMYFUNCTION("if($G56="""",false, if(isna(match(V$2, split($G56:$G383,"", "",False),0)),false,true))"),FALSE)</f>
        <v>0</v>
      </c>
      <c r="W56" s="57" t="b">
        <f ca="1">IFERROR(__xludf.DUMMYFUNCTION("if($G56="""",false, if(isna(match(W$2, split($G56:$G383,"", "",False),0)),false,true))"),FALSE)</f>
        <v>0</v>
      </c>
    </row>
    <row r="57" spans="1:23" ht="28">
      <c r="A57" s="47" t="s">
        <v>264</v>
      </c>
      <c r="B57" s="48" t="s">
        <v>62</v>
      </c>
      <c r="C57" s="49" t="s">
        <v>240</v>
      </c>
      <c r="D57" s="50" t="s">
        <v>241</v>
      </c>
      <c r="E57" s="49" t="s">
        <v>262</v>
      </c>
      <c r="F57" s="51" t="s">
        <v>265</v>
      </c>
      <c r="G57" s="59" t="s">
        <v>110</v>
      </c>
      <c r="H57" s="53" t="b">
        <f ca="1">IFERROR(__xludf.DUMMYFUNCTION("if($G57="""",false, if(isna(match(H$2, split($G57:$G383,"", "",False),0)),false,true))"),FALSE)</f>
        <v>0</v>
      </c>
      <c r="I57" s="53" t="b">
        <f ca="1">IFERROR(__xludf.DUMMYFUNCTION("if($G57="""",false, if(isna(match(I$2, split($G57:$G383,"", "",False),0)),false,true))"),FALSE)</f>
        <v>0</v>
      </c>
      <c r="J57" s="53" t="b">
        <f ca="1">IFERROR(__xludf.DUMMYFUNCTION("if($G57="""",false, if(isna(match(J$2, split($G57:$G383,"", "",False),0)),false,true))"),TRUE)</f>
        <v>1</v>
      </c>
      <c r="K57" s="53" t="b">
        <f ca="1">IFERROR(__xludf.DUMMYFUNCTION("if($G57="""",false, if(isna(match(K$2, split($G57:$G383,"", "",False),0)),false,true))"),FALSE)</f>
        <v>0</v>
      </c>
      <c r="L57" s="53" t="b">
        <f ca="1">IFERROR(__xludf.DUMMYFUNCTION("if($G57="""",false, if(isna(match(L$2, split($G57:$G383,"", "",False),0)),false,true))"),FALSE)</f>
        <v>0</v>
      </c>
      <c r="M57" s="53" t="b">
        <f ca="1">IFERROR(__xludf.DUMMYFUNCTION("if($G57="""",false, if(isna(match(M$2, split($G57:$G383,"", "",False),0)),false,true))"),FALSE)</f>
        <v>0</v>
      </c>
      <c r="N57" s="53" t="b">
        <f ca="1">IFERROR(__xludf.DUMMYFUNCTION("if($G57="""",false, if(isna(match(N$2, split($G57:$G383,"", "",False),0)),false,true))"),FALSE)</f>
        <v>0</v>
      </c>
      <c r="O57" s="53" t="b">
        <f ca="1">IFERROR(__xludf.DUMMYFUNCTION("if($G57="""",false, if(isna(match(O$2, split($G57:$G383,"", "",False),0)),false,true))"),FALSE)</f>
        <v>0</v>
      </c>
      <c r="P57" s="53" t="b">
        <f ca="1">IFERROR(__xludf.DUMMYFUNCTION("if($G57="""",false, if(isna(match(P$2, split($G57:$G383,"", "",False),0)),false,true))"),FALSE)</f>
        <v>0</v>
      </c>
      <c r="Q57" s="53" t="b">
        <f ca="1">IFERROR(__xludf.DUMMYFUNCTION("if($G57="""",false, if(isna(match(Q$2, split($G57:$G383,"", "",False),0)),false,true))"),FALSE)</f>
        <v>0</v>
      </c>
      <c r="R57" s="53" t="b">
        <f ca="1">IFERROR(__xludf.DUMMYFUNCTION("if($G57="""",false, if(isna(match(R$2, split($G57:$G383,"", "",False),0)),false,true))"),FALSE)</f>
        <v>0</v>
      </c>
      <c r="S57" s="53" t="b">
        <f ca="1">IFERROR(__xludf.DUMMYFUNCTION("if($G57="""",false, if(isna(match(S$2, split($G57:$G383,"", "",False),0)),false,true))"),FALSE)</f>
        <v>0</v>
      </c>
      <c r="T57" s="53" t="b">
        <f ca="1">IFERROR(__xludf.DUMMYFUNCTION("if($G57="""",false, if(isna(match(T$2, split($G57:$G383,"", "",False),0)),false,true))"),FALSE)</f>
        <v>0</v>
      </c>
      <c r="U57" s="53" t="b">
        <f ca="1">IFERROR(__xludf.DUMMYFUNCTION("if($G57="""",false, if(isna(match(U$2, split($G57:$G383,"", "",False),0)),false,true))"),FALSE)</f>
        <v>0</v>
      </c>
      <c r="V57" s="53" t="b">
        <f ca="1">IFERROR(__xludf.DUMMYFUNCTION("if($G57="""",false, if(isna(match(V$2, split($G57:$G383,"", "",False),0)),false,true))"),FALSE)</f>
        <v>0</v>
      </c>
      <c r="W57" s="57" t="b">
        <f ca="1">IFERROR(__xludf.DUMMYFUNCTION("if($G57="""",false, if(isna(match(W$2, split($G57:$G383,"", "",False),0)),false,true))"),FALSE)</f>
        <v>0</v>
      </c>
    </row>
    <row r="58" spans="1:23" ht="28">
      <c r="A58" s="47" t="s">
        <v>266</v>
      </c>
      <c r="B58" s="48" t="s">
        <v>62</v>
      </c>
      <c r="C58" s="49" t="s">
        <v>240</v>
      </c>
      <c r="D58" s="50" t="s">
        <v>241</v>
      </c>
      <c r="E58" s="49" t="s">
        <v>262</v>
      </c>
      <c r="F58" s="51" t="s">
        <v>267</v>
      </c>
      <c r="G58" s="59" t="s">
        <v>110</v>
      </c>
      <c r="H58" s="53" t="b">
        <f ca="1">IFERROR(__xludf.DUMMYFUNCTION("if($G58="""",false, if(isna(match(H$2, split($G58:$G383,"", "",False),0)),false,true))"),FALSE)</f>
        <v>0</v>
      </c>
      <c r="I58" s="53" t="b">
        <f ca="1">IFERROR(__xludf.DUMMYFUNCTION("if($G58="""",false, if(isna(match(I$2, split($G58:$G383,"", "",False),0)),false,true))"),FALSE)</f>
        <v>0</v>
      </c>
      <c r="J58" s="53" t="b">
        <f ca="1">IFERROR(__xludf.DUMMYFUNCTION("if($G58="""",false, if(isna(match(J$2, split($G58:$G383,"", "",False),0)),false,true))"),TRUE)</f>
        <v>1</v>
      </c>
      <c r="K58" s="53" t="b">
        <f ca="1">IFERROR(__xludf.DUMMYFUNCTION("if($G58="""",false, if(isna(match(K$2, split($G58:$G383,"", "",False),0)),false,true))"),FALSE)</f>
        <v>0</v>
      </c>
      <c r="L58" s="53" t="b">
        <f ca="1">IFERROR(__xludf.DUMMYFUNCTION("if($G58="""",false, if(isna(match(L$2, split($G58:$G383,"", "",False),0)),false,true))"),FALSE)</f>
        <v>0</v>
      </c>
      <c r="M58" s="53" t="b">
        <f ca="1">IFERROR(__xludf.DUMMYFUNCTION("if($G58="""",false, if(isna(match(M$2, split($G58:$G383,"", "",False),0)),false,true))"),FALSE)</f>
        <v>0</v>
      </c>
      <c r="N58" s="53" t="b">
        <f ca="1">IFERROR(__xludf.DUMMYFUNCTION("if($G58="""",false, if(isna(match(N$2, split($G58:$G383,"", "",False),0)),false,true))"),FALSE)</f>
        <v>0</v>
      </c>
      <c r="O58" s="53" t="b">
        <f ca="1">IFERROR(__xludf.DUMMYFUNCTION("if($G58="""",false, if(isna(match(O$2, split($G58:$G383,"", "",False),0)),false,true))"),FALSE)</f>
        <v>0</v>
      </c>
      <c r="P58" s="53" t="b">
        <f ca="1">IFERROR(__xludf.DUMMYFUNCTION("if($G58="""",false, if(isna(match(P$2, split($G58:$G383,"", "",False),0)),false,true))"),FALSE)</f>
        <v>0</v>
      </c>
      <c r="Q58" s="53" t="b">
        <f ca="1">IFERROR(__xludf.DUMMYFUNCTION("if($G58="""",false, if(isna(match(Q$2, split($G58:$G383,"", "",False),0)),false,true))"),FALSE)</f>
        <v>0</v>
      </c>
      <c r="R58" s="53" t="b">
        <f ca="1">IFERROR(__xludf.DUMMYFUNCTION("if($G58="""",false, if(isna(match(R$2, split($G58:$G383,"", "",False),0)),false,true))"),FALSE)</f>
        <v>0</v>
      </c>
      <c r="S58" s="53" t="b">
        <f ca="1">IFERROR(__xludf.DUMMYFUNCTION("if($G58="""",false, if(isna(match(S$2, split($G58:$G383,"", "",False),0)),false,true))"),FALSE)</f>
        <v>0</v>
      </c>
      <c r="T58" s="53" t="b">
        <f ca="1">IFERROR(__xludf.DUMMYFUNCTION("if($G58="""",false, if(isna(match(T$2, split($G58:$G383,"", "",False),0)),false,true))"),FALSE)</f>
        <v>0</v>
      </c>
      <c r="U58" s="53" t="b">
        <f ca="1">IFERROR(__xludf.DUMMYFUNCTION("if($G58="""",false, if(isna(match(U$2, split($G58:$G383,"", "",False),0)),false,true))"),FALSE)</f>
        <v>0</v>
      </c>
      <c r="V58" s="53" t="b">
        <f ca="1">IFERROR(__xludf.DUMMYFUNCTION("if($G58="""",false, if(isna(match(V$2, split($G58:$G383,"", "",False),0)),false,true))"),FALSE)</f>
        <v>0</v>
      </c>
      <c r="W58" s="57" t="b">
        <f ca="1">IFERROR(__xludf.DUMMYFUNCTION("if($G58="""",false, if(isna(match(W$2, split($G58:$G383,"", "",False),0)),false,true))"),FALSE)</f>
        <v>0</v>
      </c>
    </row>
    <row r="59" spans="1:23" ht="70">
      <c r="A59" s="47" t="s">
        <v>268</v>
      </c>
      <c r="B59" s="48" t="s">
        <v>62</v>
      </c>
      <c r="C59" s="49" t="s">
        <v>240</v>
      </c>
      <c r="D59" s="50" t="s">
        <v>241</v>
      </c>
      <c r="E59" s="49" t="s">
        <v>269</v>
      </c>
      <c r="F59" s="51" t="s">
        <v>270</v>
      </c>
      <c r="G59" s="59" t="s">
        <v>110</v>
      </c>
      <c r="H59" s="53" t="b">
        <f ca="1">IFERROR(__xludf.DUMMYFUNCTION("if($G59="""",false, if(isna(match(H$2, split($G59:$G383,"", "",False),0)),false,true))"),FALSE)</f>
        <v>0</v>
      </c>
      <c r="I59" s="53" t="b">
        <f ca="1">IFERROR(__xludf.DUMMYFUNCTION("if($G59="""",false, if(isna(match(I$2, split($G59:$G383,"", "",False),0)),false,true))"),FALSE)</f>
        <v>0</v>
      </c>
      <c r="J59" s="53" t="b">
        <f ca="1">IFERROR(__xludf.DUMMYFUNCTION("if($G59="""",false, if(isna(match(J$2, split($G59:$G383,"", "",False),0)),false,true))"),TRUE)</f>
        <v>1</v>
      </c>
      <c r="K59" s="53" t="b">
        <f ca="1">IFERROR(__xludf.DUMMYFUNCTION("if($G59="""",false, if(isna(match(K$2, split($G59:$G383,"", "",False),0)),false,true))"),FALSE)</f>
        <v>0</v>
      </c>
      <c r="L59" s="53" t="b">
        <f ca="1">IFERROR(__xludf.DUMMYFUNCTION("if($G59="""",false, if(isna(match(L$2, split($G59:$G383,"", "",False),0)),false,true))"),FALSE)</f>
        <v>0</v>
      </c>
      <c r="M59" s="53" t="b">
        <f ca="1">IFERROR(__xludf.DUMMYFUNCTION("if($G59="""",false, if(isna(match(M$2, split($G59:$G383,"", "",False),0)),false,true))"),FALSE)</f>
        <v>0</v>
      </c>
      <c r="N59" s="53" t="b">
        <f ca="1">IFERROR(__xludf.DUMMYFUNCTION("if($G59="""",false, if(isna(match(N$2, split($G59:$G383,"", "",False),0)),false,true))"),FALSE)</f>
        <v>0</v>
      </c>
      <c r="O59" s="53" t="b">
        <f ca="1">IFERROR(__xludf.DUMMYFUNCTION("if($G59="""",false, if(isna(match(O$2, split($G59:$G383,"", "",False),0)),false,true))"),FALSE)</f>
        <v>0</v>
      </c>
      <c r="P59" s="53" t="b">
        <f ca="1">IFERROR(__xludf.DUMMYFUNCTION("if($G59="""",false, if(isna(match(P$2, split($G59:$G383,"", "",False),0)),false,true))"),FALSE)</f>
        <v>0</v>
      </c>
      <c r="Q59" s="53" t="b">
        <f ca="1">IFERROR(__xludf.DUMMYFUNCTION("if($G59="""",false, if(isna(match(Q$2, split($G59:$G383,"", "",False),0)),false,true))"),FALSE)</f>
        <v>0</v>
      </c>
      <c r="R59" s="53" t="b">
        <f ca="1">IFERROR(__xludf.DUMMYFUNCTION("if($G59="""",false, if(isna(match(R$2, split($G59:$G383,"", "",False),0)),false,true))"),FALSE)</f>
        <v>0</v>
      </c>
      <c r="S59" s="53" t="b">
        <f ca="1">IFERROR(__xludf.DUMMYFUNCTION("if($G59="""",false, if(isna(match(S$2, split($G59:$G383,"", "",False),0)),false,true))"),FALSE)</f>
        <v>0</v>
      </c>
      <c r="T59" s="53" t="b">
        <f ca="1">IFERROR(__xludf.DUMMYFUNCTION("if($G59="""",false, if(isna(match(T$2, split($G59:$G383,"", "",False),0)),false,true))"),FALSE)</f>
        <v>0</v>
      </c>
      <c r="U59" s="53" t="b">
        <f ca="1">IFERROR(__xludf.DUMMYFUNCTION("if($G59="""",false, if(isna(match(U$2, split($G59:$G383,"", "",False),0)),false,true))"),FALSE)</f>
        <v>0</v>
      </c>
      <c r="V59" s="53" t="b">
        <f ca="1">IFERROR(__xludf.DUMMYFUNCTION("if($G59="""",false, if(isna(match(V$2, split($G59:$G383,"", "",False),0)),false,true))"),FALSE)</f>
        <v>0</v>
      </c>
      <c r="W59" s="57" t="b">
        <f ca="1">IFERROR(__xludf.DUMMYFUNCTION("if($G59="""",false, if(isna(match(W$2, split($G59:$G383,"", "",False),0)),false,true))"),FALSE)</f>
        <v>0</v>
      </c>
    </row>
    <row r="60" spans="1:23" ht="42">
      <c r="A60" s="47" t="s">
        <v>271</v>
      </c>
      <c r="B60" s="48" t="s">
        <v>62</v>
      </c>
      <c r="C60" s="49" t="s">
        <v>240</v>
      </c>
      <c r="D60" s="50" t="s">
        <v>241</v>
      </c>
      <c r="E60" s="49" t="s">
        <v>269</v>
      </c>
      <c r="F60" s="51" t="s">
        <v>272</v>
      </c>
      <c r="G60" s="59" t="s">
        <v>110</v>
      </c>
      <c r="H60" s="53" t="b">
        <f ca="1">IFERROR(__xludf.DUMMYFUNCTION("if($G60="""",false, if(isna(match(H$2, split($G60:$G383,"", "",False),0)),false,true))"),FALSE)</f>
        <v>0</v>
      </c>
      <c r="I60" s="53" t="b">
        <f ca="1">IFERROR(__xludf.DUMMYFUNCTION("if($G60="""",false, if(isna(match(I$2, split($G60:$G383,"", "",False),0)),false,true))"),FALSE)</f>
        <v>0</v>
      </c>
      <c r="J60" s="53" t="b">
        <f ca="1">IFERROR(__xludf.DUMMYFUNCTION("if($G60="""",false, if(isna(match(J$2, split($G60:$G383,"", "",False),0)),false,true))"),TRUE)</f>
        <v>1</v>
      </c>
      <c r="K60" s="53" t="b">
        <f ca="1">IFERROR(__xludf.DUMMYFUNCTION("if($G60="""",false, if(isna(match(K$2, split($G60:$G383,"", "",False),0)),false,true))"),FALSE)</f>
        <v>0</v>
      </c>
      <c r="L60" s="53" t="b">
        <f ca="1">IFERROR(__xludf.DUMMYFUNCTION("if($G60="""",false, if(isna(match(L$2, split($G60:$G383,"", "",False),0)),false,true))"),FALSE)</f>
        <v>0</v>
      </c>
      <c r="M60" s="53" t="b">
        <f ca="1">IFERROR(__xludf.DUMMYFUNCTION("if($G60="""",false, if(isna(match(M$2, split($G60:$G383,"", "",False),0)),false,true))"),FALSE)</f>
        <v>0</v>
      </c>
      <c r="N60" s="53" t="b">
        <f ca="1">IFERROR(__xludf.DUMMYFUNCTION("if($G60="""",false, if(isna(match(N$2, split($G60:$G383,"", "",False),0)),false,true))"),FALSE)</f>
        <v>0</v>
      </c>
      <c r="O60" s="53" t="b">
        <f ca="1">IFERROR(__xludf.DUMMYFUNCTION("if($G60="""",false, if(isna(match(O$2, split($G60:$G383,"", "",False),0)),false,true))"),FALSE)</f>
        <v>0</v>
      </c>
      <c r="P60" s="53" t="b">
        <f ca="1">IFERROR(__xludf.DUMMYFUNCTION("if($G60="""",false, if(isna(match(P$2, split($G60:$G383,"", "",False),0)),false,true))"),FALSE)</f>
        <v>0</v>
      </c>
      <c r="Q60" s="53" t="b">
        <f ca="1">IFERROR(__xludf.DUMMYFUNCTION("if($G60="""",false, if(isna(match(Q$2, split($G60:$G383,"", "",False),0)),false,true))"),FALSE)</f>
        <v>0</v>
      </c>
      <c r="R60" s="53" t="b">
        <f ca="1">IFERROR(__xludf.DUMMYFUNCTION("if($G60="""",false, if(isna(match(R$2, split($G60:$G383,"", "",False),0)),false,true))"),FALSE)</f>
        <v>0</v>
      </c>
      <c r="S60" s="53" t="b">
        <f ca="1">IFERROR(__xludf.DUMMYFUNCTION("if($G60="""",false, if(isna(match(S$2, split($G60:$G383,"", "",False),0)),false,true))"),FALSE)</f>
        <v>0</v>
      </c>
      <c r="T60" s="53" t="b">
        <f ca="1">IFERROR(__xludf.DUMMYFUNCTION("if($G60="""",false, if(isna(match(T$2, split($G60:$G383,"", "",False),0)),false,true))"),FALSE)</f>
        <v>0</v>
      </c>
      <c r="U60" s="53" t="b">
        <f ca="1">IFERROR(__xludf.DUMMYFUNCTION("if($G60="""",false, if(isna(match(U$2, split($G60:$G383,"", "",False),0)),false,true))"),FALSE)</f>
        <v>0</v>
      </c>
      <c r="V60" s="53" t="b">
        <f ca="1">IFERROR(__xludf.DUMMYFUNCTION("if($G60="""",false, if(isna(match(V$2, split($G60:$G383,"", "",False),0)),false,true))"),FALSE)</f>
        <v>0</v>
      </c>
      <c r="W60" s="57" t="b">
        <f ca="1">IFERROR(__xludf.DUMMYFUNCTION("if($G60="""",false, if(isna(match(W$2, split($G60:$G383,"", "",False),0)),false,true))"),FALSE)</f>
        <v>0</v>
      </c>
    </row>
    <row r="61" spans="1:23" ht="70">
      <c r="A61" s="47" t="s">
        <v>273</v>
      </c>
      <c r="B61" s="48" t="s">
        <v>62</v>
      </c>
      <c r="C61" s="49" t="s">
        <v>240</v>
      </c>
      <c r="D61" s="50" t="s">
        <v>241</v>
      </c>
      <c r="E61" s="49" t="s">
        <v>269</v>
      </c>
      <c r="F61" s="51" t="s">
        <v>274</v>
      </c>
      <c r="G61" s="59" t="s">
        <v>110</v>
      </c>
      <c r="H61" s="53" t="b">
        <f ca="1">IFERROR(__xludf.DUMMYFUNCTION("if($G61="""",false, if(isna(match(H$2, split($G61:$G383,"", "",False),0)),false,true))"),FALSE)</f>
        <v>0</v>
      </c>
      <c r="I61" s="53" t="b">
        <f ca="1">IFERROR(__xludf.DUMMYFUNCTION("if($G61="""",false, if(isna(match(I$2, split($G61:$G383,"", "",False),0)),false,true))"),FALSE)</f>
        <v>0</v>
      </c>
      <c r="J61" s="53" t="b">
        <f ca="1">IFERROR(__xludf.DUMMYFUNCTION("if($G61="""",false, if(isna(match(J$2, split($G61:$G383,"", "",False),0)),false,true))"),TRUE)</f>
        <v>1</v>
      </c>
      <c r="K61" s="53" t="b">
        <f ca="1">IFERROR(__xludf.DUMMYFUNCTION("if($G61="""",false, if(isna(match(K$2, split($G61:$G383,"", "",False),0)),false,true))"),FALSE)</f>
        <v>0</v>
      </c>
      <c r="L61" s="53" t="b">
        <f ca="1">IFERROR(__xludf.DUMMYFUNCTION("if($G61="""",false, if(isna(match(L$2, split($G61:$G383,"", "",False),0)),false,true))"),FALSE)</f>
        <v>0</v>
      </c>
      <c r="M61" s="53" t="b">
        <f ca="1">IFERROR(__xludf.DUMMYFUNCTION("if($G61="""",false, if(isna(match(M$2, split($G61:$G383,"", "",False),0)),false,true))"),FALSE)</f>
        <v>0</v>
      </c>
      <c r="N61" s="53" t="b">
        <f ca="1">IFERROR(__xludf.DUMMYFUNCTION("if($G61="""",false, if(isna(match(N$2, split($G61:$G383,"", "",False),0)),false,true))"),FALSE)</f>
        <v>0</v>
      </c>
      <c r="O61" s="53" t="b">
        <f ca="1">IFERROR(__xludf.DUMMYFUNCTION("if($G61="""",false, if(isna(match(O$2, split($G61:$G383,"", "",False),0)),false,true))"),FALSE)</f>
        <v>0</v>
      </c>
      <c r="P61" s="53" t="b">
        <f ca="1">IFERROR(__xludf.DUMMYFUNCTION("if($G61="""",false, if(isna(match(P$2, split($G61:$G383,"", "",False),0)),false,true))"),FALSE)</f>
        <v>0</v>
      </c>
      <c r="Q61" s="53" t="b">
        <f ca="1">IFERROR(__xludf.DUMMYFUNCTION("if($G61="""",false, if(isna(match(Q$2, split($G61:$G383,"", "",False),0)),false,true))"),FALSE)</f>
        <v>0</v>
      </c>
      <c r="R61" s="53" t="b">
        <f ca="1">IFERROR(__xludf.DUMMYFUNCTION("if($G61="""",false, if(isna(match(R$2, split($G61:$G383,"", "",False),0)),false,true))"),FALSE)</f>
        <v>0</v>
      </c>
      <c r="S61" s="53" t="b">
        <f ca="1">IFERROR(__xludf.DUMMYFUNCTION("if($G61="""",false, if(isna(match(S$2, split($G61:$G383,"", "",False),0)),false,true))"),FALSE)</f>
        <v>0</v>
      </c>
      <c r="T61" s="53" t="b">
        <f ca="1">IFERROR(__xludf.DUMMYFUNCTION("if($G61="""",false, if(isna(match(T$2, split($G61:$G383,"", "",False),0)),false,true))"),FALSE)</f>
        <v>0</v>
      </c>
      <c r="U61" s="53" t="b">
        <f ca="1">IFERROR(__xludf.DUMMYFUNCTION("if($G61="""",false, if(isna(match(U$2, split($G61:$G383,"", "",False),0)),false,true))"),FALSE)</f>
        <v>0</v>
      </c>
      <c r="V61" s="53" t="b">
        <f ca="1">IFERROR(__xludf.DUMMYFUNCTION("if($G61="""",false, if(isna(match(V$2, split($G61:$G383,"", "",False),0)),false,true))"),FALSE)</f>
        <v>0</v>
      </c>
      <c r="W61" s="57" t="b">
        <f ca="1">IFERROR(__xludf.DUMMYFUNCTION("if($G61="""",false, if(isna(match(W$2, split($G61:$G383,"", "",False),0)),false,true))"),FALSE)</f>
        <v>0</v>
      </c>
    </row>
    <row r="62" spans="1:23" ht="42">
      <c r="A62" s="47" t="s">
        <v>275</v>
      </c>
      <c r="B62" s="48" t="s">
        <v>62</v>
      </c>
      <c r="C62" s="49" t="s">
        <v>240</v>
      </c>
      <c r="D62" s="50" t="s">
        <v>241</v>
      </c>
      <c r="E62" s="49" t="s">
        <v>276</v>
      </c>
      <c r="F62" s="51" t="s">
        <v>277</v>
      </c>
      <c r="G62" s="59" t="s">
        <v>110</v>
      </c>
      <c r="H62" s="53" t="b">
        <f ca="1">IFERROR(__xludf.DUMMYFUNCTION("if($G62="""",false, if(isna(match(H$2, split($G62:$G383,"", "",False),0)),false,true))"),FALSE)</f>
        <v>0</v>
      </c>
      <c r="I62" s="53" t="b">
        <f ca="1">IFERROR(__xludf.DUMMYFUNCTION("if($G62="""",false, if(isna(match(I$2, split($G62:$G383,"", "",False),0)),false,true))"),FALSE)</f>
        <v>0</v>
      </c>
      <c r="J62" s="53" t="b">
        <f ca="1">IFERROR(__xludf.DUMMYFUNCTION("if($G62="""",false, if(isna(match(J$2, split($G62:$G383,"", "",False),0)),false,true))"),TRUE)</f>
        <v>1</v>
      </c>
      <c r="K62" s="53" t="b">
        <f ca="1">IFERROR(__xludf.DUMMYFUNCTION("if($G62="""",false, if(isna(match(K$2, split($G62:$G383,"", "",False),0)),false,true))"),FALSE)</f>
        <v>0</v>
      </c>
      <c r="L62" s="53" t="b">
        <f ca="1">IFERROR(__xludf.DUMMYFUNCTION("if($G62="""",false, if(isna(match(L$2, split($G62:$G383,"", "",False),0)),false,true))"),FALSE)</f>
        <v>0</v>
      </c>
      <c r="M62" s="53" t="b">
        <f ca="1">IFERROR(__xludf.DUMMYFUNCTION("if($G62="""",false, if(isna(match(M$2, split($G62:$G383,"", "",False),0)),false,true))"),FALSE)</f>
        <v>0</v>
      </c>
      <c r="N62" s="53" t="b">
        <f ca="1">IFERROR(__xludf.DUMMYFUNCTION("if($G62="""",false, if(isna(match(N$2, split($G62:$G383,"", "",False),0)),false,true))"),FALSE)</f>
        <v>0</v>
      </c>
      <c r="O62" s="53" t="b">
        <f ca="1">IFERROR(__xludf.DUMMYFUNCTION("if($G62="""",false, if(isna(match(O$2, split($G62:$G383,"", "",False),0)),false,true))"),FALSE)</f>
        <v>0</v>
      </c>
      <c r="P62" s="53" t="b">
        <f ca="1">IFERROR(__xludf.DUMMYFUNCTION("if($G62="""",false, if(isna(match(P$2, split($G62:$G383,"", "",False),0)),false,true))"),FALSE)</f>
        <v>0</v>
      </c>
      <c r="Q62" s="53" t="b">
        <f ca="1">IFERROR(__xludf.DUMMYFUNCTION("if($G62="""",false, if(isna(match(Q$2, split($G62:$G383,"", "",False),0)),false,true))"),FALSE)</f>
        <v>0</v>
      </c>
      <c r="R62" s="53" t="b">
        <f ca="1">IFERROR(__xludf.DUMMYFUNCTION("if($G62="""",false, if(isna(match(R$2, split($G62:$G383,"", "",False),0)),false,true))"),FALSE)</f>
        <v>0</v>
      </c>
      <c r="S62" s="53" t="b">
        <f ca="1">IFERROR(__xludf.DUMMYFUNCTION("if($G62="""",false, if(isna(match(S$2, split($G62:$G383,"", "",False),0)),false,true))"),FALSE)</f>
        <v>0</v>
      </c>
      <c r="T62" s="53" t="b">
        <f ca="1">IFERROR(__xludf.DUMMYFUNCTION("if($G62="""",false, if(isna(match(T$2, split($G62:$G383,"", "",False),0)),false,true))"),FALSE)</f>
        <v>0</v>
      </c>
      <c r="U62" s="53" t="b">
        <f ca="1">IFERROR(__xludf.DUMMYFUNCTION("if($G62="""",false, if(isna(match(U$2, split($G62:$G383,"", "",False),0)),false,true))"),FALSE)</f>
        <v>0</v>
      </c>
      <c r="V62" s="53" t="b">
        <f ca="1">IFERROR(__xludf.DUMMYFUNCTION("if($G62="""",false, if(isna(match(V$2, split($G62:$G383,"", "",False),0)),false,true))"),FALSE)</f>
        <v>0</v>
      </c>
      <c r="W62" s="57" t="b">
        <f ca="1">IFERROR(__xludf.DUMMYFUNCTION("if($G62="""",false, if(isna(match(W$2, split($G62:$G383,"", "",False),0)),false,true))"),FALSE)</f>
        <v>0</v>
      </c>
    </row>
    <row r="63" spans="1:23" ht="98">
      <c r="A63" s="47" t="s">
        <v>278</v>
      </c>
      <c r="B63" s="48" t="s">
        <v>62</v>
      </c>
      <c r="C63" s="49" t="s">
        <v>240</v>
      </c>
      <c r="D63" s="50" t="s">
        <v>241</v>
      </c>
      <c r="E63" s="49" t="s">
        <v>276</v>
      </c>
      <c r="F63" s="51" t="s">
        <v>279</v>
      </c>
      <c r="G63" s="59" t="s">
        <v>110</v>
      </c>
      <c r="H63" s="53" t="b">
        <f ca="1">IFERROR(__xludf.DUMMYFUNCTION("if($G63="""",false, if(isna(match(H$2, split($G63:$G383,"", "",False),0)),false,true))"),FALSE)</f>
        <v>0</v>
      </c>
      <c r="I63" s="53" t="b">
        <f ca="1">IFERROR(__xludf.DUMMYFUNCTION("if($G63="""",false, if(isna(match(I$2, split($G63:$G383,"", "",False),0)),false,true))"),FALSE)</f>
        <v>0</v>
      </c>
      <c r="J63" s="53" t="b">
        <f ca="1">IFERROR(__xludf.DUMMYFUNCTION("if($G63="""",false, if(isna(match(J$2, split($G63:$G383,"", "",False),0)),false,true))"),TRUE)</f>
        <v>1</v>
      </c>
      <c r="K63" s="53" t="b">
        <f ca="1">IFERROR(__xludf.DUMMYFUNCTION("if($G63="""",false, if(isna(match(K$2, split($G63:$G383,"", "",False),0)),false,true))"),FALSE)</f>
        <v>0</v>
      </c>
      <c r="L63" s="53" t="b">
        <f ca="1">IFERROR(__xludf.DUMMYFUNCTION("if($G63="""",false, if(isna(match(L$2, split($G63:$G383,"", "",False),0)),false,true))"),FALSE)</f>
        <v>0</v>
      </c>
      <c r="M63" s="53" t="b">
        <f ca="1">IFERROR(__xludf.DUMMYFUNCTION("if($G63="""",false, if(isna(match(M$2, split($G63:$G383,"", "",False),0)),false,true))"),FALSE)</f>
        <v>0</v>
      </c>
      <c r="N63" s="53" t="b">
        <f ca="1">IFERROR(__xludf.DUMMYFUNCTION("if($G63="""",false, if(isna(match(N$2, split($G63:$G383,"", "",False),0)),false,true))"),FALSE)</f>
        <v>0</v>
      </c>
      <c r="O63" s="53" t="b">
        <f ca="1">IFERROR(__xludf.DUMMYFUNCTION("if($G63="""",false, if(isna(match(O$2, split($G63:$G383,"", "",False),0)),false,true))"),FALSE)</f>
        <v>0</v>
      </c>
      <c r="P63" s="53" t="b">
        <f ca="1">IFERROR(__xludf.DUMMYFUNCTION("if($G63="""",false, if(isna(match(P$2, split($G63:$G383,"", "",False),0)),false,true))"),FALSE)</f>
        <v>0</v>
      </c>
      <c r="Q63" s="53" t="b">
        <f ca="1">IFERROR(__xludf.DUMMYFUNCTION("if($G63="""",false, if(isna(match(Q$2, split($G63:$G383,"", "",False),0)),false,true))"),FALSE)</f>
        <v>0</v>
      </c>
      <c r="R63" s="53" t="b">
        <f ca="1">IFERROR(__xludf.DUMMYFUNCTION("if($G63="""",false, if(isna(match(R$2, split($G63:$G383,"", "",False),0)),false,true))"),FALSE)</f>
        <v>0</v>
      </c>
      <c r="S63" s="53" t="b">
        <f ca="1">IFERROR(__xludf.DUMMYFUNCTION("if($G63="""",false, if(isna(match(S$2, split($G63:$G383,"", "",False),0)),false,true))"),FALSE)</f>
        <v>0</v>
      </c>
      <c r="T63" s="53" t="b">
        <f ca="1">IFERROR(__xludf.DUMMYFUNCTION("if($G63="""",false, if(isna(match(T$2, split($G63:$G383,"", "",False),0)),false,true))"),FALSE)</f>
        <v>0</v>
      </c>
      <c r="U63" s="53" t="b">
        <f ca="1">IFERROR(__xludf.DUMMYFUNCTION("if($G63="""",false, if(isna(match(U$2, split($G63:$G383,"", "",False),0)),false,true))"),FALSE)</f>
        <v>0</v>
      </c>
      <c r="V63" s="53" t="b">
        <f ca="1">IFERROR(__xludf.DUMMYFUNCTION("if($G63="""",false, if(isna(match(V$2, split($G63:$G383,"", "",False),0)),false,true))"),FALSE)</f>
        <v>0</v>
      </c>
      <c r="W63" s="57" t="b">
        <f ca="1">IFERROR(__xludf.DUMMYFUNCTION("if($G63="""",false, if(isna(match(W$2, split($G63:$G383,"", "",False),0)),false,true))"),FALSE)</f>
        <v>0</v>
      </c>
    </row>
    <row r="64" spans="1:23" ht="28">
      <c r="A64" s="47" t="s">
        <v>280</v>
      </c>
      <c r="B64" s="48" t="s">
        <v>62</v>
      </c>
      <c r="C64" s="49" t="s">
        <v>240</v>
      </c>
      <c r="D64" s="50" t="s">
        <v>241</v>
      </c>
      <c r="E64" s="49" t="s">
        <v>276</v>
      </c>
      <c r="F64" s="51" t="s">
        <v>281</v>
      </c>
      <c r="G64" s="59" t="s">
        <v>110</v>
      </c>
      <c r="H64" s="53" t="b">
        <f ca="1">IFERROR(__xludf.DUMMYFUNCTION("if($G64="""",false, if(isna(match(H$2, split($G64:$G383,"", "",False),0)),false,true))"),FALSE)</f>
        <v>0</v>
      </c>
      <c r="I64" s="53" t="b">
        <f ca="1">IFERROR(__xludf.DUMMYFUNCTION("if($G64="""",false, if(isna(match(I$2, split($G64:$G383,"", "",False),0)),false,true))"),FALSE)</f>
        <v>0</v>
      </c>
      <c r="J64" s="53" t="b">
        <f ca="1">IFERROR(__xludf.DUMMYFUNCTION("if($G64="""",false, if(isna(match(J$2, split($G64:$G383,"", "",False),0)),false,true))"),TRUE)</f>
        <v>1</v>
      </c>
      <c r="K64" s="53" t="b">
        <f ca="1">IFERROR(__xludf.DUMMYFUNCTION("if($G64="""",false, if(isna(match(K$2, split($G64:$G383,"", "",False),0)),false,true))"),FALSE)</f>
        <v>0</v>
      </c>
      <c r="L64" s="53" t="b">
        <f ca="1">IFERROR(__xludf.DUMMYFUNCTION("if($G64="""",false, if(isna(match(L$2, split($G64:$G383,"", "",False),0)),false,true))"),FALSE)</f>
        <v>0</v>
      </c>
      <c r="M64" s="53" t="b">
        <f ca="1">IFERROR(__xludf.DUMMYFUNCTION("if($G64="""",false, if(isna(match(M$2, split($G64:$G383,"", "",False),0)),false,true))"),FALSE)</f>
        <v>0</v>
      </c>
      <c r="N64" s="53" t="b">
        <f ca="1">IFERROR(__xludf.DUMMYFUNCTION("if($G64="""",false, if(isna(match(N$2, split($G64:$G383,"", "",False),0)),false,true))"),FALSE)</f>
        <v>0</v>
      </c>
      <c r="O64" s="53" t="b">
        <f ca="1">IFERROR(__xludf.DUMMYFUNCTION("if($G64="""",false, if(isna(match(O$2, split($G64:$G383,"", "",False),0)),false,true))"),FALSE)</f>
        <v>0</v>
      </c>
      <c r="P64" s="53" t="b">
        <f ca="1">IFERROR(__xludf.DUMMYFUNCTION("if($G64="""",false, if(isna(match(P$2, split($G64:$G383,"", "",False),0)),false,true))"),FALSE)</f>
        <v>0</v>
      </c>
      <c r="Q64" s="53" t="b">
        <f ca="1">IFERROR(__xludf.DUMMYFUNCTION("if($G64="""",false, if(isna(match(Q$2, split($G64:$G383,"", "",False),0)),false,true))"),FALSE)</f>
        <v>0</v>
      </c>
      <c r="R64" s="53" t="b">
        <f ca="1">IFERROR(__xludf.DUMMYFUNCTION("if($G64="""",false, if(isna(match(R$2, split($G64:$G383,"", "",False),0)),false,true))"),FALSE)</f>
        <v>0</v>
      </c>
      <c r="S64" s="53" t="b">
        <f ca="1">IFERROR(__xludf.DUMMYFUNCTION("if($G64="""",false, if(isna(match(S$2, split($G64:$G383,"", "",False),0)),false,true))"),FALSE)</f>
        <v>0</v>
      </c>
      <c r="T64" s="53" t="b">
        <f ca="1">IFERROR(__xludf.DUMMYFUNCTION("if($G64="""",false, if(isna(match(T$2, split($G64:$G383,"", "",False),0)),false,true))"),FALSE)</f>
        <v>0</v>
      </c>
      <c r="U64" s="53" t="b">
        <f ca="1">IFERROR(__xludf.DUMMYFUNCTION("if($G64="""",false, if(isna(match(U$2, split($G64:$G383,"", "",False),0)),false,true))"),FALSE)</f>
        <v>0</v>
      </c>
      <c r="V64" s="53" t="b">
        <f ca="1">IFERROR(__xludf.DUMMYFUNCTION("if($G64="""",false, if(isna(match(V$2, split($G64:$G383,"", "",False),0)),false,true))"),FALSE)</f>
        <v>0</v>
      </c>
      <c r="W64" s="57" t="b">
        <f ca="1">IFERROR(__xludf.DUMMYFUNCTION("if($G64="""",false, if(isna(match(W$2, split($G64:$G383,"", "",False),0)),false,true))"),FALSE)</f>
        <v>0</v>
      </c>
    </row>
    <row r="65" spans="1:23" ht="42">
      <c r="A65" s="47" t="s">
        <v>282</v>
      </c>
      <c r="B65" s="48" t="s">
        <v>62</v>
      </c>
      <c r="C65" s="49" t="s">
        <v>240</v>
      </c>
      <c r="D65" s="50" t="s">
        <v>241</v>
      </c>
      <c r="E65" s="49" t="s">
        <v>276</v>
      </c>
      <c r="F65" s="51" t="s">
        <v>283</v>
      </c>
      <c r="G65" s="59" t="s">
        <v>110</v>
      </c>
      <c r="H65" s="53" t="b">
        <f ca="1">IFERROR(__xludf.DUMMYFUNCTION("if($G65="""",false, if(isna(match(H$2, split($G65:$G383,"", "",False),0)),false,true))"),FALSE)</f>
        <v>0</v>
      </c>
      <c r="I65" s="53" t="b">
        <f ca="1">IFERROR(__xludf.DUMMYFUNCTION("if($G65="""",false, if(isna(match(I$2, split($G65:$G383,"", "",False),0)),false,true))"),FALSE)</f>
        <v>0</v>
      </c>
      <c r="J65" s="53" t="b">
        <f ca="1">IFERROR(__xludf.DUMMYFUNCTION("if($G65="""",false, if(isna(match(J$2, split($G65:$G383,"", "",False),0)),false,true))"),TRUE)</f>
        <v>1</v>
      </c>
      <c r="K65" s="53" t="b">
        <f ca="1">IFERROR(__xludf.DUMMYFUNCTION("if($G65="""",false, if(isna(match(K$2, split($G65:$G383,"", "",False),0)),false,true))"),FALSE)</f>
        <v>0</v>
      </c>
      <c r="L65" s="53" t="b">
        <f ca="1">IFERROR(__xludf.DUMMYFUNCTION("if($G65="""",false, if(isna(match(L$2, split($G65:$G383,"", "",False),0)),false,true))"),FALSE)</f>
        <v>0</v>
      </c>
      <c r="M65" s="53" t="b">
        <f ca="1">IFERROR(__xludf.DUMMYFUNCTION("if($G65="""",false, if(isna(match(M$2, split($G65:$G383,"", "",False),0)),false,true))"),FALSE)</f>
        <v>0</v>
      </c>
      <c r="N65" s="53" t="b">
        <f ca="1">IFERROR(__xludf.DUMMYFUNCTION("if($G65="""",false, if(isna(match(N$2, split($G65:$G383,"", "",False),0)),false,true))"),FALSE)</f>
        <v>0</v>
      </c>
      <c r="O65" s="53" t="b">
        <f ca="1">IFERROR(__xludf.DUMMYFUNCTION("if($G65="""",false, if(isna(match(O$2, split($G65:$G383,"", "",False),0)),false,true))"),FALSE)</f>
        <v>0</v>
      </c>
      <c r="P65" s="53" t="b">
        <f ca="1">IFERROR(__xludf.DUMMYFUNCTION("if($G65="""",false, if(isna(match(P$2, split($G65:$G383,"", "",False),0)),false,true))"),FALSE)</f>
        <v>0</v>
      </c>
      <c r="Q65" s="53" t="b">
        <f ca="1">IFERROR(__xludf.DUMMYFUNCTION("if($G65="""",false, if(isna(match(Q$2, split($G65:$G383,"", "",False),0)),false,true))"),FALSE)</f>
        <v>0</v>
      </c>
      <c r="R65" s="53" t="b">
        <f ca="1">IFERROR(__xludf.DUMMYFUNCTION("if($G65="""",false, if(isna(match(R$2, split($G65:$G383,"", "",False),0)),false,true))"),FALSE)</f>
        <v>0</v>
      </c>
      <c r="S65" s="53" t="b">
        <f ca="1">IFERROR(__xludf.DUMMYFUNCTION("if($G65="""",false, if(isna(match(S$2, split($G65:$G383,"", "",False),0)),false,true))"),FALSE)</f>
        <v>0</v>
      </c>
      <c r="T65" s="53" t="b">
        <f ca="1">IFERROR(__xludf.DUMMYFUNCTION("if($G65="""",false, if(isna(match(T$2, split($G65:$G383,"", "",False),0)),false,true))"),FALSE)</f>
        <v>0</v>
      </c>
      <c r="U65" s="53" t="b">
        <f ca="1">IFERROR(__xludf.DUMMYFUNCTION("if($G65="""",false, if(isna(match(U$2, split($G65:$G383,"", "",False),0)),false,true))"),FALSE)</f>
        <v>0</v>
      </c>
      <c r="V65" s="53" t="b">
        <f ca="1">IFERROR(__xludf.DUMMYFUNCTION("if($G65="""",false, if(isna(match(V$2, split($G65:$G383,"", "",False),0)),false,true))"),FALSE)</f>
        <v>0</v>
      </c>
      <c r="W65" s="57" t="b">
        <f ca="1">IFERROR(__xludf.DUMMYFUNCTION("if($G65="""",false, if(isna(match(W$2, split($G65:$G383,"", "",False),0)),false,true))"),FALSE)</f>
        <v>0</v>
      </c>
    </row>
    <row r="66" spans="1:23" ht="28">
      <c r="A66" s="47" t="s">
        <v>284</v>
      </c>
      <c r="B66" s="48" t="s">
        <v>62</v>
      </c>
      <c r="C66" s="49" t="s">
        <v>240</v>
      </c>
      <c r="D66" s="50" t="s">
        <v>241</v>
      </c>
      <c r="E66" s="49" t="s">
        <v>276</v>
      </c>
      <c r="F66" s="51" t="s">
        <v>285</v>
      </c>
      <c r="G66" s="59" t="s">
        <v>110</v>
      </c>
      <c r="H66" s="53" t="b">
        <f ca="1">IFERROR(__xludf.DUMMYFUNCTION("if($G66="""",false, if(isna(match(H$2, split($G66:$G383,"", "",False),0)),false,true))"),FALSE)</f>
        <v>0</v>
      </c>
      <c r="I66" s="53" t="b">
        <f ca="1">IFERROR(__xludf.DUMMYFUNCTION("if($G66="""",false, if(isna(match(I$2, split($G66:$G383,"", "",False),0)),false,true))"),FALSE)</f>
        <v>0</v>
      </c>
      <c r="J66" s="53" t="b">
        <f ca="1">IFERROR(__xludf.DUMMYFUNCTION("if($G66="""",false, if(isna(match(J$2, split($G66:$G383,"", "",False),0)),false,true))"),TRUE)</f>
        <v>1</v>
      </c>
      <c r="K66" s="53" t="b">
        <f ca="1">IFERROR(__xludf.DUMMYFUNCTION("if($G66="""",false, if(isna(match(K$2, split($G66:$G383,"", "",False),0)),false,true))"),FALSE)</f>
        <v>0</v>
      </c>
      <c r="L66" s="53" t="b">
        <f ca="1">IFERROR(__xludf.DUMMYFUNCTION("if($G66="""",false, if(isna(match(L$2, split($G66:$G383,"", "",False),0)),false,true))"),FALSE)</f>
        <v>0</v>
      </c>
      <c r="M66" s="53" t="b">
        <f ca="1">IFERROR(__xludf.DUMMYFUNCTION("if($G66="""",false, if(isna(match(M$2, split($G66:$G383,"", "",False),0)),false,true))"),FALSE)</f>
        <v>0</v>
      </c>
      <c r="N66" s="53" t="b">
        <f ca="1">IFERROR(__xludf.DUMMYFUNCTION("if($G66="""",false, if(isna(match(N$2, split($G66:$G383,"", "",False),0)),false,true))"),FALSE)</f>
        <v>0</v>
      </c>
      <c r="O66" s="53" t="b">
        <f ca="1">IFERROR(__xludf.DUMMYFUNCTION("if($G66="""",false, if(isna(match(O$2, split($G66:$G383,"", "",False),0)),false,true))"),FALSE)</f>
        <v>0</v>
      </c>
      <c r="P66" s="53" t="b">
        <f ca="1">IFERROR(__xludf.DUMMYFUNCTION("if($G66="""",false, if(isna(match(P$2, split($G66:$G383,"", "",False),0)),false,true))"),FALSE)</f>
        <v>0</v>
      </c>
      <c r="Q66" s="53" t="b">
        <f ca="1">IFERROR(__xludf.DUMMYFUNCTION("if($G66="""",false, if(isna(match(Q$2, split($G66:$G383,"", "",False),0)),false,true))"),FALSE)</f>
        <v>0</v>
      </c>
      <c r="R66" s="53" t="b">
        <f ca="1">IFERROR(__xludf.DUMMYFUNCTION("if($G66="""",false, if(isna(match(R$2, split($G66:$G383,"", "",False),0)),false,true))"),FALSE)</f>
        <v>0</v>
      </c>
      <c r="S66" s="53" t="b">
        <f ca="1">IFERROR(__xludf.DUMMYFUNCTION("if($G66="""",false, if(isna(match(S$2, split($G66:$G383,"", "",False),0)),false,true))"),FALSE)</f>
        <v>0</v>
      </c>
      <c r="T66" s="53" t="b">
        <f ca="1">IFERROR(__xludf.DUMMYFUNCTION("if($G66="""",false, if(isna(match(T$2, split($G66:$G383,"", "",False),0)),false,true))"),FALSE)</f>
        <v>0</v>
      </c>
      <c r="U66" s="53" t="b">
        <f ca="1">IFERROR(__xludf.DUMMYFUNCTION("if($G66="""",false, if(isna(match(U$2, split($G66:$G383,"", "",False),0)),false,true))"),FALSE)</f>
        <v>0</v>
      </c>
      <c r="V66" s="53" t="b">
        <f ca="1">IFERROR(__xludf.DUMMYFUNCTION("if($G66="""",false, if(isna(match(V$2, split($G66:$G383,"", "",False),0)),false,true))"),FALSE)</f>
        <v>0</v>
      </c>
      <c r="W66" s="57" t="b">
        <f ca="1">IFERROR(__xludf.DUMMYFUNCTION("if($G66="""",false, if(isna(match(W$2, split($G66:$G383,"", "",False),0)),false,true))"),FALSE)</f>
        <v>0</v>
      </c>
    </row>
    <row r="67" spans="1:23" ht="28">
      <c r="A67" s="47" t="s">
        <v>286</v>
      </c>
      <c r="B67" s="48" t="s">
        <v>62</v>
      </c>
      <c r="C67" s="49" t="s">
        <v>240</v>
      </c>
      <c r="D67" s="50" t="s">
        <v>241</v>
      </c>
      <c r="E67" s="49" t="s">
        <v>276</v>
      </c>
      <c r="F67" s="51" t="s">
        <v>287</v>
      </c>
      <c r="G67" s="59" t="s">
        <v>110</v>
      </c>
      <c r="H67" s="53" t="b">
        <f ca="1">IFERROR(__xludf.DUMMYFUNCTION("if($G67="""",false, if(isna(match(H$2, split($G67:$G383,"", "",False),0)),false,true))"),FALSE)</f>
        <v>0</v>
      </c>
      <c r="I67" s="53" t="b">
        <f ca="1">IFERROR(__xludf.DUMMYFUNCTION("if($G67="""",false, if(isna(match(I$2, split($G67:$G383,"", "",False),0)),false,true))"),FALSE)</f>
        <v>0</v>
      </c>
      <c r="J67" s="53" t="b">
        <f ca="1">IFERROR(__xludf.DUMMYFUNCTION("if($G67="""",false, if(isna(match(J$2, split($G67:$G383,"", "",False),0)),false,true))"),TRUE)</f>
        <v>1</v>
      </c>
      <c r="K67" s="53" t="b">
        <f ca="1">IFERROR(__xludf.DUMMYFUNCTION("if($G67="""",false, if(isna(match(K$2, split($G67:$G383,"", "",False),0)),false,true))"),FALSE)</f>
        <v>0</v>
      </c>
      <c r="L67" s="53" t="b">
        <f ca="1">IFERROR(__xludf.DUMMYFUNCTION("if($G67="""",false, if(isna(match(L$2, split($G67:$G383,"", "",False),0)),false,true))"),FALSE)</f>
        <v>0</v>
      </c>
      <c r="M67" s="53" t="b">
        <f ca="1">IFERROR(__xludf.DUMMYFUNCTION("if($G67="""",false, if(isna(match(M$2, split($G67:$G383,"", "",False),0)),false,true))"),FALSE)</f>
        <v>0</v>
      </c>
      <c r="N67" s="53" t="b">
        <f ca="1">IFERROR(__xludf.DUMMYFUNCTION("if($G67="""",false, if(isna(match(N$2, split($G67:$G383,"", "",False),0)),false,true))"),FALSE)</f>
        <v>0</v>
      </c>
      <c r="O67" s="53" t="b">
        <f ca="1">IFERROR(__xludf.DUMMYFUNCTION("if($G67="""",false, if(isna(match(O$2, split($G67:$G383,"", "",False),0)),false,true))"),FALSE)</f>
        <v>0</v>
      </c>
      <c r="P67" s="53" t="b">
        <f ca="1">IFERROR(__xludf.DUMMYFUNCTION("if($G67="""",false, if(isna(match(P$2, split($G67:$G383,"", "",False),0)),false,true))"),FALSE)</f>
        <v>0</v>
      </c>
      <c r="Q67" s="53" t="b">
        <f ca="1">IFERROR(__xludf.DUMMYFUNCTION("if($G67="""",false, if(isna(match(Q$2, split($G67:$G383,"", "",False),0)),false,true))"),FALSE)</f>
        <v>0</v>
      </c>
      <c r="R67" s="53" t="b">
        <f ca="1">IFERROR(__xludf.DUMMYFUNCTION("if($G67="""",false, if(isna(match(R$2, split($G67:$G383,"", "",False),0)),false,true))"),FALSE)</f>
        <v>0</v>
      </c>
      <c r="S67" s="53" t="b">
        <f ca="1">IFERROR(__xludf.DUMMYFUNCTION("if($G67="""",false, if(isna(match(S$2, split($G67:$G383,"", "",False),0)),false,true))"),FALSE)</f>
        <v>0</v>
      </c>
      <c r="T67" s="53" t="b">
        <f ca="1">IFERROR(__xludf.DUMMYFUNCTION("if($G67="""",false, if(isna(match(T$2, split($G67:$G383,"", "",False),0)),false,true))"),FALSE)</f>
        <v>0</v>
      </c>
      <c r="U67" s="53" t="b">
        <f ca="1">IFERROR(__xludf.DUMMYFUNCTION("if($G67="""",false, if(isna(match(U$2, split($G67:$G383,"", "",False),0)),false,true))"),FALSE)</f>
        <v>0</v>
      </c>
      <c r="V67" s="53" t="b">
        <f ca="1">IFERROR(__xludf.DUMMYFUNCTION("if($G67="""",false, if(isna(match(V$2, split($G67:$G383,"", "",False),0)),false,true))"),FALSE)</f>
        <v>0</v>
      </c>
      <c r="W67" s="57" t="b">
        <f ca="1">IFERROR(__xludf.DUMMYFUNCTION("if($G67="""",false, if(isna(match(W$2, split($G67:$G383,"", "",False),0)),false,true))"),FALSE)</f>
        <v>0</v>
      </c>
    </row>
    <row r="68" spans="1:23" ht="28">
      <c r="A68" s="47" t="s">
        <v>288</v>
      </c>
      <c r="B68" s="48" t="s">
        <v>62</v>
      </c>
      <c r="C68" s="49" t="s">
        <v>240</v>
      </c>
      <c r="D68" s="50" t="s">
        <v>241</v>
      </c>
      <c r="E68" s="49" t="s">
        <v>276</v>
      </c>
      <c r="F68" s="51" t="s">
        <v>289</v>
      </c>
      <c r="G68" s="59" t="s">
        <v>110</v>
      </c>
      <c r="H68" s="53" t="b">
        <f ca="1">IFERROR(__xludf.DUMMYFUNCTION("if($G68="""",false, if(isna(match(H$2, split($G68:$G383,"", "",False),0)),false,true))"),FALSE)</f>
        <v>0</v>
      </c>
      <c r="I68" s="53" t="b">
        <f ca="1">IFERROR(__xludf.DUMMYFUNCTION("if($G68="""",false, if(isna(match(I$2, split($G68:$G383,"", "",False),0)),false,true))"),FALSE)</f>
        <v>0</v>
      </c>
      <c r="J68" s="53" t="b">
        <f ca="1">IFERROR(__xludf.DUMMYFUNCTION("if($G68="""",false, if(isna(match(J$2, split($G68:$G383,"", "",False),0)),false,true))"),TRUE)</f>
        <v>1</v>
      </c>
      <c r="K68" s="53" t="b">
        <f ca="1">IFERROR(__xludf.DUMMYFUNCTION("if($G68="""",false, if(isna(match(K$2, split($G68:$G383,"", "",False),0)),false,true))"),FALSE)</f>
        <v>0</v>
      </c>
      <c r="L68" s="53" t="b">
        <f ca="1">IFERROR(__xludf.DUMMYFUNCTION("if($G68="""",false, if(isna(match(L$2, split($G68:$G383,"", "",False),0)),false,true))"),FALSE)</f>
        <v>0</v>
      </c>
      <c r="M68" s="53" t="b">
        <f ca="1">IFERROR(__xludf.DUMMYFUNCTION("if($G68="""",false, if(isna(match(M$2, split($G68:$G383,"", "",False),0)),false,true))"),FALSE)</f>
        <v>0</v>
      </c>
      <c r="N68" s="53" t="b">
        <f ca="1">IFERROR(__xludf.DUMMYFUNCTION("if($G68="""",false, if(isna(match(N$2, split($G68:$G383,"", "",False),0)),false,true))"),FALSE)</f>
        <v>0</v>
      </c>
      <c r="O68" s="53" t="b">
        <f ca="1">IFERROR(__xludf.DUMMYFUNCTION("if($G68="""",false, if(isna(match(O$2, split($G68:$G383,"", "",False),0)),false,true))"),FALSE)</f>
        <v>0</v>
      </c>
      <c r="P68" s="53" t="b">
        <f ca="1">IFERROR(__xludf.DUMMYFUNCTION("if($G68="""",false, if(isna(match(P$2, split($G68:$G383,"", "",False),0)),false,true))"),FALSE)</f>
        <v>0</v>
      </c>
      <c r="Q68" s="53" t="b">
        <f ca="1">IFERROR(__xludf.DUMMYFUNCTION("if($G68="""",false, if(isna(match(Q$2, split($G68:$G383,"", "",False),0)),false,true))"),FALSE)</f>
        <v>0</v>
      </c>
      <c r="R68" s="53" t="b">
        <f ca="1">IFERROR(__xludf.DUMMYFUNCTION("if($G68="""",false, if(isna(match(R$2, split($G68:$G383,"", "",False),0)),false,true))"),FALSE)</f>
        <v>0</v>
      </c>
      <c r="S68" s="53" t="b">
        <f ca="1">IFERROR(__xludf.DUMMYFUNCTION("if($G68="""",false, if(isna(match(S$2, split($G68:$G383,"", "",False),0)),false,true))"),FALSE)</f>
        <v>0</v>
      </c>
      <c r="T68" s="53" t="b">
        <f ca="1">IFERROR(__xludf.DUMMYFUNCTION("if($G68="""",false, if(isna(match(T$2, split($G68:$G383,"", "",False),0)),false,true))"),FALSE)</f>
        <v>0</v>
      </c>
      <c r="U68" s="53" t="b">
        <f ca="1">IFERROR(__xludf.DUMMYFUNCTION("if($G68="""",false, if(isna(match(U$2, split($G68:$G383,"", "",False),0)),false,true))"),FALSE)</f>
        <v>0</v>
      </c>
      <c r="V68" s="53" t="b">
        <f ca="1">IFERROR(__xludf.DUMMYFUNCTION("if($G68="""",false, if(isna(match(V$2, split($G68:$G383,"", "",False),0)),false,true))"),FALSE)</f>
        <v>0</v>
      </c>
      <c r="W68" s="57" t="b">
        <f ca="1">IFERROR(__xludf.DUMMYFUNCTION("if($G68="""",false, if(isna(match(W$2, split($G68:$G383,"", "",False),0)),false,true))"),FALSE)</f>
        <v>0</v>
      </c>
    </row>
    <row r="69" spans="1:23" ht="42">
      <c r="A69" s="47" t="s">
        <v>290</v>
      </c>
      <c r="B69" s="48" t="s">
        <v>62</v>
      </c>
      <c r="C69" s="49" t="s">
        <v>240</v>
      </c>
      <c r="D69" s="50" t="s">
        <v>241</v>
      </c>
      <c r="E69" s="49" t="s">
        <v>291</v>
      </c>
      <c r="F69" s="51" t="s">
        <v>292</v>
      </c>
      <c r="G69" s="59" t="s">
        <v>110</v>
      </c>
      <c r="H69" s="53" t="b">
        <f ca="1">IFERROR(__xludf.DUMMYFUNCTION("if($G69="""",false, if(isna(match(H$2, split($G69:$G383,"", "",False),0)),false,true))"),FALSE)</f>
        <v>0</v>
      </c>
      <c r="I69" s="53" t="b">
        <f ca="1">IFERROR(__xludf.DUMMYFUNCTION("if($G69="""",false, if(isna(match(I$2, split($G69:$G383,"", "",False),0)),false,true))"),FALSE)</f>
        <v>0</v>
      </c>
      <c r="J69" s="53" t="b">
        <f ca="1">IFERROR(__xludf.DUMMYFUNCTION("if($G69="""",false, if(isna(match(J$2, split($G69:$G383,"", "",False),0)),false,true))"),TRUE)</f>
        <v>1</v>
      </c>
      <c r="K69" s="53" t="b">
        <f ca="1">IFERROR(__xludf.DUMMYFUNCTION("if($G69="""",false, if(isna(match(K$2, split($G69:$G383,"", "",False),0)),false,true))"),FALSE)</f>
        <v>0</v>
      </c>
      <c r="L69" s="53" t="b">
        <f ca="1">IFERROR(__xludf.DUMMYFUNCTION("if($G69="""",false, if(isna(match(L$2, split($G69:$G383,"", "",False),0)),false,true))"),FALSE)</f>
        <v>0</v>
      </c>
      <c r="M69" s="53" t="b">
        <f ca="1">IFERROR(__xludf.DUMMYFUNCTION("if($G69="""",false, if(isna(match(M$2, split($G69:$G383,"", "",False),0)),false,true))"),FALSE)</f>
        <v>0</v>
      </c>
      <c r="N69" s="53" t="b">
        <f ca="1">IFERROR(__xludf.DUMMYFUNCTION("if($G69="""",false, if(isna(match(N$2, split($G69:$G383,"", "",False),0)),false,true))"),FALSE)</f>
        <v>0</v>
      </c>
      <c r="O69" s="53" t="b">
        <f ca="1">IFERROR(__xludf.DUMMYFUNCTION("if($G69="""",false, if(isna(match(O$2, split($G69:$G383,"", "",False),0)),false,true))"),FALSE)</f>
        <v>0</v>
      </c>
      <c r="P69" s="53" t="b">
        <f ca="1">IFERROR(__xludf.DUMMYFUNCTION("if($G69="""",false, if(isna(match(P$2, split($G69:$G383,"", "",False),0)),false,true))"),FALSE)</f>
        <v>0</v>
      </c>
      <c r="Q69" s="53" t="b">
        <f ca="1">IFERROR(__xludf.DUMMYFUNCTION("if($G69="""",false, if(isna(match(Q$2, split($G69:$G383,"", "",False),0)),false,true))"),FALSE)</f>
        <v>0</v>
      </c>
      <c r="R69" s="53" t="b">
        <f ca="1">IFERROR(__xludf.DUMMYFUNCTION("if($G69="""",false, if(isna(match(R$2, split($G69:$G383,"", "",False),0)),false,true))"),FALSE)</f>
        <v>0</v>
      </c>
      <c r="S69" s="53" t="b">
        <f ca="1">IFERROR(__xludf.DUMMYFUNCTION("if($G69="""",false, if(isna(match(S$2, split($G69:$G383,"", "",False),0)),false,true))"),FALSE)</f>
        <v>0</v>
      </c>
      <c r="T69" s="53" t="b">
        <f ca="1">IFERROR(__xludf.DUMMYFUNCTION("if($G69="""",false, if(isna(match(T$2, split($G69:$G383,"", "",False),0)),false,true))"),FALSE)</f>
        <v>0</v>
      </c>
      <c r="U69" s="53" t="b">
        <f ca="1">IFERROR(__xludf.DUMMYFUNCTION("if($G69="""",false, if(isna(match(U$2, split($G69:$G383,"", "",False),0)),false,true))"),FALSE)</f>
        <v>0</v>
      </c>
      <c r="V69" s="53" t="b">
        <f ca="1">IFERROR(__xludf.DUMMYFUNCTION("if($G69="""",false, if(isna(match(V$2, split($G69:$G383,"", "",False),0)),false,true))"),FALSE)</f>
        <v>0</v>
      </c>
      <c r="W69" s="57" t="b">
        <f ca="1">IFERROR(__xludf.DUMMYFUNCTION("if($G69="""",false, if(isna(match(W$2, split($G69:$G383,"", "",False),0)),false,true))"),FALSE)</f>
        <v>0</v>
      </c>
    </row>
    <row r="70" spans="1:23" ht="28">
      <c r="A70" s="47" t="s">
        <v>293</v>
      </c>
      <c r="B70" s="48" t="s">
        <v>62</v>
      </c>
      <c r="C70" s="49" t="s">
        <v>240</v>
      </c>
      <c r="D70" s="50" t="s">
        <v>241</v>
      </c>
      <c r="E70" s="49" t="s">
        <v>291</v>
      </c>
      <c r="F70" s="51" t="s">
        <v>294</v>
      </c>
      <c r="G70" s="59" t="s">
        <v>110</v>
      </c>
      <c r="H70" s="53" t="b">
        <f ca="1">IFERROR(__xludf.DUMMYFUNCTION("if($G70="""",false, if(isna(match(H$2, split($G70:$G383,"", "",False),0)),false,true))"),FALSE)</f>
        <v>0</v>
      </c>
      <c r="I70" s="53" t="b">
        <f ca="1">IFERROR(__xludf.DUMMYFUNCTION("if($G70="""",false, if(isna(match(I$2, split($G70:$G383,"", "",False),0)),false,true))"),FALSE)</f>
        <v>0</v>
      </c>
      <c r="J70" s="53" t="b">
        <f ca="1">IFERROR(__xludf.DUMMYFUNCTION("if($G70="""",false, if(isna(match(J$2, split($G70:$G383,"", "",False),0)),false,true))"),TRUE)</f>
        <v>1</v>
      </c>
      <c r="K70" s="53" t="b">
        <f ca="1">IFERROR(__xludf.DUMMYFUNCTION("if($G70="""",false, if(isna(match(K$2, split($G70:$G383,"", "",False),0)),false,true))"),FALSE)</f>
        <v>0</v>
      </c>
      <c r="L70" s="53" t="b">
        <f ca="1">IFERROR(__xludf.DUMMYFUNCTION("if($G70="""",false, if(isna(match(L$2, split($G70:$G383,"", "",False),0)),false,true))"),FALSE)</f>
        <v>0</v>
      </c>
      <c r="M70" s="53" t="b">
        <f ca="1">IFERROR(__xludf.DUMMYFUNCTION("if($G70="""",false, if(isna(match(M$2, split($G70:$G383,"", "",False),0)),false,true))"),FALSE)</f>
        <v>0</v>
      </c>
      <c r="N70" s="53" t="b">
        <f ca="1">IFERROR(__xludf.DUMMYFUNCTION("if($G70="""",false, if(isna(match(N$2, split($G70:$G383,"", "",False),0)),false,true))"),FALSE)</f>
        <v>0</v>
      </c>
      <c r="O70" s="53" t="b">
        <f ca="1">IFERROR(__xludf.DUMMYFUNCTION("if($G70="""",false, if(isna(match(O$2, split($G70:$G383,"", "",False),0)),false,true))"),FALSE)</f>
        <v>0</v>
      </c>
      <c r="P70" s="53" t="b">
        <f ca="1">IFERROR(__xludf.DUMMYFUNCTION("if($G70="""",false, if(isna(match(P$2, split($G70:$G383,"", "",False),0)),false,true))"),FALSE)</f>
        <v>0</v>
      </c>
      <c r="Q70" s="53" t="b">
        <f ca="1">IFERROR(__xludf.DUMMYFUNCTION("if($G70="""",false, if(isna(match(Q$2, split($G70:$G383,"", "",False),0)),false,true))"),FALSE)</f>
        <v>0</v>
      </c>
      <c r="R70" s="53" t="b">
        <f ca="1">IFERROR(__xludf.DUMMYFUNCTION("if($G70="""",false, if(isna(match(R$2, split($G70:$G383,"", "",False),0)),false,true))"),FALSE)</f>
        <v>0</v>
      </c>
      <c r="S70" s="53" t="b">
        <f ca="1">IFERROR(__xludf.DUMMYFUNCTION("if($G70="""",false, if(isna(match(S$2, split($G70:$G383,"", "",False),0)),false,true))"),FALSE)</f>
        <v>0</v>
      </c>
      <c r="T70" s="53" t="b">
        <f ca="1">IFERROR(__xludf.DUMMYFUNCTION("if($G70="""",false, if(isna(match(T$2, split($G70:$G383,"", "",False),0)),false,true))"),FALSE)</f>
        <v>0</v>
      </c>
      <c r="U70" s="53" t="b">
        <f ca="1">IFERROR(__xludf.DUMMYFUNCTION("if($G70="""",false, if(isna(match(U$2, split($G70:$G383,"", "",False),0)),false,true))"),FALSE)</f>
        <v>0</v>
      </c>
      <c r="V70" s="53" t="b">
        <f ca="1">IFERROR(__xludf.DUMMYFUNCTION("if($G70="""",false, if(isna(match(V$2, split($G70:$G383,"", "",False),0)),false,true))"),FALSE)</f>
        <v>0</v>
      </c>
      <c r="W70" s="57" t="b">
        <f ca="1">IFERROR(__xludf.DUMMYFUNCTION("if($G70="""",false, if(isna(match(W$2, split($G70:$G383,"", "",False),0)),false,true))"),FALSE)</f>
        <v>0</v>
      </c>
    </row>
    <row r="71" spans="1:23" ht="56">
      <c r="A71" s="47" t="s">
        <v>295</v>
      </c>
      <c r="B71" s="48" t="s">
        <v>62</v>
      </c>
      <c r="C71" s="49" t="s">
        <v>240</v>
      </c>
      <c r="D71" s="50" t="s">
        <v>241</v>
      </c>
      <c r="E71" s="49" t="s">
        <v>291</v>
      </c>
      <c r="F71" s="51" t="s">
        <v>296</v>
      </c>
      <c r="G71" s="59" t="s">
        <v>110</v>
      </c>
      <c r="H71" s="53" t="b">
        <f ca="1">IFERROR(__xludf.DUMMYFUNCTION("if($G71="""",false, if(isna(match(H$2, split($G71:$G383,"", "",False),0)),false,true))"),FALSE)</f>
        <v>0</v>
      </c>
      <c r="I71" s="53" t="b">
        <f ca="1">IFERROR(__xludf.DUMMYFUNCTION("if($G71="""",false, if(isna(match(I$2, split($G71:$G383,"", "",False),0)),false,true))"),FALSE)</f>
        <v>0</v>
      </c>
      <c r="J71" s="53" t="b">
        <f ca="1">IFERROR(__xludf.DUMMYFUNCTION("if($G71="""",false, if(isna(match(J$2, split($G71:$G383,"", "",False),0)),false,true))"),TRUE)</f>
        <v>1</v>
      </c>
      <c r="K71" s="53" t="b">
        <f ca="1">IFERROR(__xludf.DUMMYFUNCTION("if($G71="""",false, if(isna(match(K$2, split($G71:$G383,"", "",False),0)),false,true))"),FALSE)</f>
        <v>0</v>
      </c>
      <c r="L71" s="53" t="b">
        <f ca="1">IFERROR(__xludf.DUMMYFUNCTION("if($G71="""",false, if(isna(match(L$2, split($G71:$G383,"", "",False),0)),false,true))"),FALSE)</f>
        <v>0</v>
      </c>
      <c r="M71" s="53" t="b">
        <f ca="1">IFERROR(__xludf.DUMMYFUNCTION("if($G71="""",false, if(isna(match(M$2, split($G71:$G383,"", "",False),0)),false,true))"),FALSE)</f>
        <v>0</v>
      </c>
      <c r="N71" s="53" t="b">
        <f ca="1">IFERROR(__xludf.DUMMYFUNCTION("if($G71="""",false, if(isna(match(N$2, split($G71:$G383,"", "",False),0)),false,true))"),FALSE)</f>
        <v>0</v>
      </c>
      <c r="O71" s="53" t="b">
        <f ca="1">IFERROR(__xludf.DUMMYFUNCTION("if($G71="""",false, if(isna(match(O$2, split($G71:$G383,"", "",False),0)),false,true))"),FALSE)</f>
        <v>0</v>
      </c>
      <c r="P71" s="53" t="b">
        <f ca="1">IFERROR(__xludf.DUMMYFUNCTION("if($G71="""",false, if(isna(match(P$2, split($G71:$G383,"", "",False),0)),false,true))"),FALSE)</f>
        <v>0</v>
      </c>
      <c r="Q71" s="53" t="b">
        <f ca="1">IFERROR(__xludf.DUMMYFUNCTION("if($G71="""",false, if(isna(match(Q$2, split($G71:$G383,"", "",False),0)),false,true))"),FALSE)</f>
        <v>0</v>
      </c>
      <c r="R71" s="53" t="b">
        <f ca="1">IFERROR(__xludf.DUMMYFUNCTION("if($G71="""",false, if(isna(match(R$2, split($G71:$G383,"", "",False),0)),false,true))"),FALSE)</f>
        <v>0</v>
      </c>
      <c r="S71" s="53" t="b">
        <f ca="1">IFERROR(__xludf.DUMMYFUNCTION("if($G71="""",false, if(isna(match(S$2, split($G71:$G383,"", "",False),0)),false,true))"),FALSE)</f>
        <v>0</v>
      </c>
      <c r="T71" s="53" t="b">
        <f ca="1">IFERROR(__xludf.DUMMYFUNCTION("if($G71="""",false, if(isna(match(T$2, split($G71:$G383,"", "",False),0)),false,true))"),FALSE)</f>
        <v>0</v>
      </c>
      <c r="U71" s="53" t="b">
        <f ca="1">IFERROR(__xludf.DUMMYFUNCTION("if($G71="""",false, if(isna(match(U$2, split($G71:$G383,"", "",False),0)),false,true))"),FALSE)</f>
        <v>0</v>
      </c>
      <c r="V71" s="53" t="b">
        <f ca="1">IFERROR(__xludf.DUMMYFUNCTION("if($G71="""",false, if(isna(match(V$2, split($G71:$G383,"", "",False),0)),false,true))"),FALSE)</f>
        <v>0</v>
      </c>
      <c r="W71" s="57" t="b">
        <f ca="1">IFERROR(__xludf.DUMMYFUNCTION("if($G71="""",false, if(isna(match(W$2, split($G71:$G383,"", "",False),0)),false,true))"),FALSE)</f>
        <v>0</v>
      </c>
    </row>
    <row r="72" spans="1:23" ht="28">
      <c r="A72" s="47" t="s">
        <v>297</v>
      </c>
      <c r="B72" s="48" t="s">
        <v>62</v>
      </c>
      <c r="C72" s="49" t="s">
        <v>240</v>
      </c>
      <c r="D72" s="50" t="s">
        <v>241</v>
      </c>
      <c r="E72" s="49" t="s">
        <v>291</v>
      </c>
      <c r="F72" s="51" t="s">
        <v>298</v>
      </c>
      <c r="G72" s="59" t="s">
        <v>110</v>
      </c>
      <c r="H72" s="53" t="b">
        <f ca="1">IFERROR(__xludf.DUMMYFUNCTION("if($G72="""",false, if(isna(match(H$2, split($G72:$G383,"", "",False),0)),false,true))"),FALSE)</f>
        <v>0</v>
      </c>
      <c r="I72" s="53" t="b">
        <f ca="1">IFERROR(__xludf.DUMMYFUNCTION("if($G72="""",false, if(isna(match(I$2, split($G72:$G383,"", "",False),0)),false,true))"),FALSE)</f>
        <v>0</v>
      </c>
      <c r="J72" s="53" t="b">
        <f ca="1">IFERROR(__xludf.DUMMYFUNCTION("if($G72="""",false, if(isna(match(J$2, split($G72:$G383,"", "",False),0)),false,true))"),TRUE)</f>
        <v>1</v>
      </c>
      <c r="K72" s="53" t="b">
        <f ca="1">IFERROR(__xludf.DUMMYFUNCTION("if($G72="""",false, if(isna(match(K$2, split($G72:$G383,"", "",False),0)),false,true))"),FALSE)</f>
        <v>0</v>
      </c>
      <c r="L72" s="53" t="b">
        <f ca="1">IFERROR(__xludf.DUMMYFUNCTION("if($G72="""",false, if(isna(match(L$2, split($G72:$G383,"", "",False),0)),false,true))"),FALSE)</f>
        <v>0</v>
      </c>
      <c r="M72" s="53" t="b">
        <f ca="1">IFERROR(__xludf.DUMMYFUNCTION("if($G72="""",false, if(isna(match(M$2, split($G72:$G383,"", "",False),0)),false,true))"),FALSE)</f>
        <v>0</v>
      </c>
      <c r="N72" s="53" t="b">
        <f ca="1">IFERROR(__xludf.DUMMYFUNCTION("if($G72="""",false, if(isna(match(N$2, split($G72:$G383,"", "",False),0)),false,true))"),FALSE)</f>
        <v>0</v>
      </c>
      <c r="O72" s="53" t="b">
        <f ca="1">IFERROR(__xludf.DUMMYFUNCTION("if($G72="""",false, if(isna(match(O$2, split($G72:$G383,"", "",False),0)),false,true))"),FALSE)</f>
        <v>0</v>
      </c>
      <c r="P72" s="53" t="b">
        <f ca="1">IFERROR(__xludf.DUMMYFUNCTION("if($G72="""",false, if(isna(match(P$2, split($G72:$G383,"", "",False),0)),false,true))"),FALSE)</f>
        <v>0</v>
      </c>
      <c r="Q72" s="53" t="b">
        <f ca="1">IFERROR(__xludf.DUMMYFUNCTION("if($G72="""",false, if(isna(match(Q$2, split($G72:$G383,"", "",False),0)),false,true))"),FALSE)</f>
        <v>0</v>
      </c>
      <c r="R72" s="53" t="b">
        <f ca="1">IFERROR(__xludf.DUMMYFUNCTION("if($G72="""",false, if(isna(match(R$2, split($G72:$G383,"", "",False),0)),false,true))"),FALSE)</f>
        <v>0</v>
      </c>
      <c r="S72" s="53" t="b">
        <f ca="1">IFERROR(__xludf.DUMMYFUNCTION("if($G72="""",false, if(isna(match(S$2, split($G72:$G383,"", "",False),0)),false,true))"),FALSE)</f>
        <v>0</v>
      </c>
      <c r="T72" s="53" t="b">
        <f ca="1">IFERROR(__xludf.DUMMYFUNCTION("if($G72="""",false, if(isna(match(T$2, split($G72:$G383,"", "",False),0)),false,true))"),FALSE)</f>
        <v>0</v>
      </c>
      <c r="U72" s="53" t="b">
        <f ca="1">IFERROR(__xludf.DUMMYFUNCTION("if($G72="""",false, if(isna(match(U$2, split($G72:$G383,"", "",False),0)),false,true))"),FALSE)</f>
        <v>0</v>
      </c>
      <c r="V72" s="53" t="b">
        <f ca="1">IFERROR(__xludf.DUMMYFUNCTION("if($G72="""",false, if(isna(match(V$2, split($G72:$G383,"", "",False),0)),false,true))"),FALSE)</f>
        <v>0</v>
      </c>
      <c r="W72" s="57" t="b">
        <f ca="1">IFERROR(__xludf.DUMMYFUNCTION("if($G72="""",false, if(isna(match(W$2, split($G72:$G383,"", "",False),0)),false,true))"),FALSE)</f>
        <v>0</v>
      </c>
    </row>
    <row r="73" spans="1:23" ht="70">
      <c r="A73" s="47" t="s">
        <v>299</v>
      </c>
      <c r="B73" s="48" t="s">
        <v>62</v>
      </c>
      <c r="C73" s="49" t="s">
        <v>240</v>
      </c>
      <c r="D73" s="50" t="s">
        <v>241</v>
      </c>
      <c r="E73" s="49" t="s">
        <v>300</v>
      </c>
      <c r="F73" s="51" t="s">
        <v>301</v>
      </c>
      <c r="G73" s="59"/>
      <c r="H73" s="53" t="b">
        <f ca="1">IFERROR(__xludf.DUMMYFUNCTION("if($G73="""",false, if(isna(match(H$2, split($G73:$G383,"", "",False),0)),false,true))"),FALSE)</f>
        <v>0</v>
      </c>
      <c r="I73" s="53" t="b">
        <f ca="1">IFERROR(__xludf.DUMMYFUNCTION("if($G73="""",false, if(isna(match(I$2, split($G73:$G383,"", "",False),0)),false,true))"),FALSE)</f>
        <v>0</v>
      </c>
      <c r="J73" s="53" t="b">
        <f ca="1">IFERROR(__xludf.DUMMYFUNCTION("if($G73="""",false, if(isna(match(J$2, split($G73:$G383,"", "",False),0)),false,true))"),FALSE)</f>
        <v>0</v>
      </c>
      <c r="K73" s="53" t="b">
        <f ca="1">IFERROR(__xludf.DUMMYFUNCTION("if($G73="""",false, if(isna(match(K$2, split($G73:$G383,"", "",False),0)),false,true))"),FALSE)</f>
        <v>0</v>
      </c>
      <c r="L73" s="53" t="b">
        <f ca="1">IFERROR(__xludf.DUMMYFUNCTION("if($G73="""",false, if(isna(match(L$2, split($G73:$G383,"", "",False),0)),false,true))"),FALSE)</f>
        <v>0</v>
      </c>
      <c r="M73" s="53" t="b">
        <f ca="1">IFERROR(__xludf.DUMMYFUNCTION("if($G73="""",false, if(isna(match(M$2, split($G73:$G383,"", "",False),0)),false,true))"),FALSE)</f>
        <v>0</v>
      </c>
      <c r="N73" s="53" t="b">
        <f ca="1">IFERROR(__xludf.DUMMYFUNCTION("if($G73="""",false, if(isna(match(N$2, split($G73:$G383,"", "",False),0)),false,true))"),FALSE)</f>
        <v>0</v>
      </c>
      <c r="O73" s="53" t="b">
        <f ca="1">IFERROR(__xludf.DUMMYFUNCTION("if($G73="""",false, if(isna(match(O$2, split($G73:$G383,"", "",False),0)),false,true))"),FALSE)</f>
        <v>0</v>
      </c>
      <c r="P73" s="53" t="b">
        <f ca="1">IFERROR(__xludf.DUMMYFUNCTION("if($G73="""",false, if(isna(match(P$2, split($G73:$G383,"", "",False),0)),false,true))"),FALSE)</f>
        <v>0</v>
      </c>
      <c r="Q73" s="53" t="b">
        <f ca="1">IFERROR(__xludf.DUMMYFUNCTION("if($G73="""",false, if(isna(match(Q$2, split($G73:$G383,"", "",False),0)),false,true))"),FALSE)</f>
        <v>0</v>
      </c>
      <c r="R73" s="53" t="b">
        <f ca="1">IFERROR(__xludf.DUMMYFUNCTION("if($G73="""",false, if(isna(match(R$2, split($G73:$G383,"", "",False),0)),false,true))"),FALSE)</f>
        <v>0</v>
      </c>
      <c r="S73" s="53" t="b">
        <f ca="1">IFERROR(__xludf.DUMMYFUNCTION("if($G73="""",false, if(isna(match(S$2, split($G73:$G383,"", "",False),0)),false,true))"),FALSE)</f>
        <v>0</v>
      </c>
      <c r="T73" s="53" t="b">
        <f ca="1">IFERROR(__xludf.DUMMYFUNCTION("if($G73="""",false, if(isna(match(T$2, split($G73:$G383,"", "",False),0)),false,true))"),FALSE)</f>
        <v>0</v>
      </c>
      <c r="U73" s="53" t="b">
        <f ca="1">IFERROR(__xludf.DUMMYFUNCTION("if($G73="""",false, if(isna(match(U$2, split($G73:$G383,"", "",False),0)),false,true))"),FALSE)</f>
        <v>0</v>
      </c>
      <c r="V73" s="53" t="b">
        <f ca="1">IFERROR(__xludf.DUMMYFUNCTION("if($G73="""",false, if(isna(match(V$2, split($G73:$G383,"", "",False),0)),false,true))"),FALSE)</f>
        <v>0</v>
      </c>
      <c r="W73" s="57" t="b">
        <f ca="1">IFERROR(__xludf.DUMMYFUNCTION("if($G73="""",false, if(isna(match(W$2, split($G73:$G383,"", "",False),0)),false,true))"),FALSE)</f>
        <v>0</v>
      </c>
    </row>
    <row r="74" spans="1:23" ht="56">
      <c r="A74" s="47" t="s">
        <v>302</v>
      </c>
      <c r="B74" s="48" t="s">
        <v>62</v>
      </c>
      <c r="C74" s="49" t="s">
        <v>240</v>
      </c>
      <c r="D74" s="50" t="s">
        <v>241</v>
      </c>
      <c r="E74" s="49" t="s">
        <v>300</v>
      </c>
      <c r="F74" s="51" t="s">
        <v>303</v>
      </c>
      <c r="G74" s="59"/>
      <c r="H74" s="53" t="b">
        <f ca="1">IFERROR(__xludf.DUMMYFUNCTION("if($G74="""",false, if(isna(match(H$2, split($G74:$G383,"", "",False),0)),false,true))"),FALSE)</f>
        <v>0</v>
      </c>
      <c r="I74" s="53" t="b">
        <f ca="1">IFERROR(__xludf.DUMMYFUNCTION("if($G74="""",false, if(isna(match(I$2, split($G74:$G383,"", "",False),0)),false,true))"),FALSE)</f>
        <v>0</v>
      </c>
      <c r="J74" s="53" t="b">
        <f ca="1">IFERROR(__xludf.DUMMYFUNCTION("if($G74="""",false, if(isna(match(J$2, split($G74:$G383,"", "",False),0)),false,true))"),FALSE)</f>
        <v>0</v>
      </c>
      <c r="K74" s="53" t="b">
        <f ca="1">IFERROR(__xludf.DUMMYFUNCTION("if($G74="""",false, if(isna(match(K$2, split($G74:$G383,"", "",False),0)),false,true))"),FALSE)</f>
        <v>0</v>
      </c>
      <c r="L74" s="53" t="b">
        <f ca="1">IFERROR(__xludf.DUMMYFUNCTION("if($G74="""",false, if(isna(match(L$2, split($G74:$G383,"", "",False),0)),false,true))"),FALSE)</f>
        <v>0</v>
      </c>
      <c r="M74" s="53" t="b">
        <f ca="1">IFERROR(__xludf.DUMMYFUNCTION("if($G74="""",false, if(isna(match(M$2, split($G74:$G383,"", "",False),0)),false,true))"),FALSE)</f>
        <v>0</v>
      </c>
      <c r="N74" s="53" t="b">
        <f ca="1">IFERROR(__xludf.DUMMYFUNCTION("if($G74="""",false, if(isna(match(N$2, split($G74:$G383,"", "",False),0)),false,true))"),FALSE)</f>
        <v>0</v>
      </c>
      <c r="O74" s="53" t="b">
        <f ca="1">IFERROR(__xludf.DUMMYFUNCTION("if($G74="""",false, if(isna(match(O$2, split($G74:$G383,"", "",False),0)),false,true))"),FALSE)</f>
        <v>0</v>
      </c>
      <c r="P74" s="53" t="b">
        <f ca="1">IFERROR(__xludf.DUMMYFUNCTION("if($G74="""",false, if(isna(match(P$2, split($G74:$G383,"", "",False),0)),false,true))"),FALSE)</f>
        <v>0</v>
      </c>
      <c r="Q74" s="53" t="b">
        <f ca="1">IFERROR(__xludf.DUMMYFUNCTION("if($G74="""",false, if(isna(match(Q$2, split($G74:$G383,"", "",False),0)),false,true))"),FALSE)</f>
        <v>0</v>
      </c>
      <c r="R74" s="53" t="b">
        <f ca="1">IFERROR(__xludf.DUMMYFUNCTION("if($G74="""",false, if(isna(match(R$2, split($G74:$G383,"", "",False),0)),false,true))"),FALSE)</f>
        <v>0</v>
      </c>
      <c r="S74" s="53" t="b">
        <f ca="1">IFERROR(__xludf.DUMMYFUNCTION("if($G74="""",false, if(isna(match(S$2, split($G74:$G383,"", "",False),0)),false,true))"),FALSE)</f>
        <v>0</v>
      </c>
      <c r="T74" s="53" t="b">
        <f ca="1">IFERROR(__xludf.DUMMYFUNCTION("if($G74="""",false, if(isna(match(T$2, split($G74:$G383,"", "",False),0)),false,true))"),FALSE)</f>
        <v>0</v>
      </c>
      <c r="U74" s="53" t="b">
        <f ca="1">IFERROR(__xludf.DUMMYFUNCTION("if($G74="""",false, if(isna(match(U$2, split($G74:$G383,"", "",False),0)),false,true))"),FALSE)</f>
        <v>0</v>
      </c>
      <c r="V74" s="53" t="b">
        <f ca="1">IFERROR(__xludf.DUMMYFUNCTION("if($G74="""",false, if(isna(match(V$2, split($G74:$G383,"", "",False),0)),false,true))"),FALSE)</f>
        <v>0</v>
      </c>
      <c r="W74" s="57" t="b">
        <f ca="1">IFERROR(__xludf.DUMMYFUNCTION("if($G74="""",false, if(isna(match(W$2, split($G74:$G383,"", "",False),0)),false,true))"),FALSE)</f>
        <v>0</v>
      </c>
    </row>
    <row r="75" spans="1:23" ht="98">
      <c r="A75" s="47" t="s">
        <v>304</v>
      </c>
      <c r="B75" s="48" t="s">
        <v>62</v>
      </c>
      <c r="C75" s="49" t="s">
        <v>240</v>
      </c>
      <c r="D75" s="50" t="s">
        <v>241</v>
      </c>
      <c r="E75" s="49" t="s">
        <v>300</v>
      </c>
      <c r="F75" s="51" t="s">
        <v>305</v>
      </c>
      <c r="G75" s="59"/>
      <c r="H75" s="53" t="b">
        <f ca="1">IFERROR(__xludf.DUMMYFUNCTION("if($G75="""",false, if(isna(match(H$2, split($G75:$G383,"", "",False),0)),false,true))"),FALSE)</f>
        <v>0</v>
      </c>
      <c r="I75" s="53" t="b">
        <f ca="1">IFERROR(__xludf.DUMMYFUNCTION("if($G75="""",false, if(isna(match(I$2, split($G75:$G383,"", "",False),0)),false,true))"),FALSE)</f>
        <v>0</v>
      </c>
      <c r="J75" s="53" t="b">
        <f ca="1">IFERROR(__xludf.DUMMYFUNCTION("if($G75="""",false, if(isna(match(J$2, split($G75:$G383,"", "",False),0)),false,true))"),FALSE)</f>
        <v>0</v>
      </c>
      <c r="K75" s="53" t="b">
        <f ca="1">IFERROR(__xludf.DUMMYFUNCTION("if($G75="""",false, if(isna(match(K$2, split($G75:$G383,"", "",False),0)),false,true))"),FALSE)</f>
        <v>0</v>
      </c>
      <c r="L75" s="53" t="b">
        <f ca="1">IFERROR(__xludf.DUMMYFUNCTION("if($G75="""",false, if(isna(match(L$2, split($G75:$G383,"", "",False),0)),false,true))"),FALSE)</f>
        <v>0</v>
      </c>
      <c r="M75" s="53" t="b">
        <f ca="1">IFERROR(__xludf.DUMMYFUNCTION("if($G75="""",false, if(isna(match(M$2, split($G75:$G383,"", "",False),0)),false,true))"),FALSE)</f>
        <v>0</v>
      </c>
      <c r="N75" s="53" t="b">
        <f ca="1">IFERROR(__xludf.DUMMYFUNCTION("if($G75="""",false, if(isna(match(N$2, split($G75:$G383,"", "",False),0)),false,true))"),FALSE)</f>
        <v>0</v>
      </c>
      <c r="O75" s="53" t="b">
        <f ca="1">IFERROR(__xludf.DUMMYFUNCTION("if($G75="""",false, if(isna(match(O$2, split($G75:$G383,"", "",False),0)),false,true))"),FALSE)</f>
        <v>0</v>
      </c>
      <c r="P75" s="53" t="b">
        <f ca="1">IFERROR(__xludf.DUMMYFUNCTION("if($G75="""",false, if(isna(match(P$2, split($G75:$G383,"", "",False),0)),false,true))"),FALSE)</f>
        <v>0</v>
      </c>
      <c r="Q75" s="53" t="b">
        <f ca="1">IFERROR(__xludf.DUMMYFUNCTION("if($G75="""",false, if(isna(match(Q$2, split($G75:$G383,"", "",False),0)),false,true))"),FALSE)</f>
        <v>0</v>
      </c>
      <c r="R75" s="53" t="b">
        <f ca="1">IFERROR(__xludf.DUMMYFUNCTION("if($G75="""",false, if(isna(match(R$2, split($G75:$G383,"", "",False),0)),false,true))"),FALSE)</f>
        <v>0</v>
      </c>
      <c r="S75" s="53" t="b">
        <f ca="1">IFERROR(__xludf.DUMMYFUNCTION("if($G75="""",false, if(isna(match(S$2, split($G75:$G383,"", "",False),0)),false,true))"),FALSE)</f>
        <v>0</v>
      </c>
      <c r="T75" s="53" t="b">
        <f ca="1">IFERROR(__xludf.DUMMYFUNCTION("if($G75="""",false, if(isna(match(T$2, split($G75:$G383,"", "",False),0)),false,true))"),FALSE)</f>
        <v>0</v>
      </c>
      <c r="U75" s="53" t="b">
        <f ca="1">IFERROR(__xludf.DUMMYFUNCTION("if($G75="""",false, if(isna(match(U$2, split($G75:$G383,"", "",False),0)),false,true))"),FALSE)</f>
        <v>0</v>
      </c>
      <c r="V75" s="53" t="b">
        <f ca="1">IFERROR(__xludf.DUMMYFUNCTION("if($G75="""",false, if(isna(match(V$2, split($G75:$G383,"", "",False),0)),false,true))"),FALSE)</f>
        <v>0</v>
      </c>
      <c r="W75" s="57" t="b">
        <f ca="1">IFERROR(__xludf.DUMMYFUNCTION("if($G75="""",false, if(isna(match(W$2, split($G75:$G383,"", "",False),0)),false,true))"),FALSE)</f>
        <v>0</v>
      </c>
    </row>
    <row r="76" spans="1:23" ht="28">
      <c r="A76" s="47" t="s">
        <v>306</v>
      </c>
      <c r="B76" s="48" t="s">
        <v>62</v>
      </c>
      <c r="C76" s="49" t="s">
        <v>240</v>
      </c>
      <c r="D76" s="50" t="s">
        <v>241</v>
      </c>
      <c r="E76" s="49" t="s">
        <v>300</v>
      </c>
      <c r="F76" s="51" t="s">
        <v>307</v>
      </c>
      <c r="G76" s="59"/>
      <c r="H76" s="53" t="b">
        <f ca="1">IFERROR(__xludf.DUMMYFUNCTION("if($G76="""",false, if(isna(match(H$2, split($G76:$G383,"", "",False),0)),false,true))"),FALSE)</f>
        <v>0</v>
      </c>
      <c r="I76" s="53" t="b">
        <f ca="1">IFERROR(__xludf.DUMMYFUNCTION("if($G76="""",false, if(isna(match(I$2, split($G76:$G383,"", "",False),0)),false,true))"),FALSE)</f>
        <v>0</v>
      </c>
      <c r="J76" s="53" t="b">
        <f ca="1">IFERROR(__xludf.DUMMYFUNCTION("if($G76="""",false, if(isna(match(J$2, split($G76:$G383,"", "",False),0)),false,true))"),FALSE)</f>
        <v>0</v>
      </c>
      <c r="K76" s="53" t="b">
        <f ca="1">IFERROR(__xludf.DUMMYFUNCTION("if($G76="""",false, if(isna(match(K$2, split($G76:$G383,"", "",False),0)),false,true))"),FALSE)</f>
        <v>0</v>
      </c>
      <c r="L76" s="53" t="b">
        <f ca="1">IFERROR(__xludf.DUMMYFUNCTION("if($G76="""",false, if(isna(match(L$2, split($G76:$G383,"", "",False),0)),false,true))"),FALSE)</f>
        <v>0</v>
      </c>
      <c r="M76" s="53" t="b">
        <f ca="1">IFERROR(__xludf.DUMMYFUNCTION("if($G76="""",false, if(isna(match(M$2, split($G76:$G383,"", "",False),0)),false,true))"),FALSE)</f>
        <v>0</v>
      </c>
      <c r="N76" s="53" t="b">
        <f ca="1">IFERROR(__xludf.DUMMYFUNCTION("if($G76="""",false, if(isna(match(N$2, split($G76:$G383,"", "",False),0)),false,true))"),FALSE)</f>
        <v>0</v>
      </c>
      <c r="O76" s="53" t="b">
        <f ca="1">IFERROR(__xludf.DUMMYFUNCTION("if($G76="""",false, if(isna(match(O$2, split($G76:$G383,"", "",False),0)),false,true))"),FALSE)</f>
        <v>0</v>
      </c>
      <c r="P76" s="53" t="b">
        <f ca="1">IFERROR(__xludf.DUMMYFUNCTION("if($G76="""",false, if(isna(match(P$2, split($G76:$G383,"", "",False),0)),false,true))"),FALSE)</f>
        <v>0</v>
      </c>
      <c r="Q76" s="53" t="b">
        <f ca="1">IFERROR(__xludf.DUMMYFUNCTION("if($G76="""",false, if(isna(match(Q$2, split($G76:$G383,"", "",False),0)),false,true))"),FALSE)</f>
        <v>0</v>
      </c>
      <c r="R76" s="53" t="b">
        <f ca="1">IFERROR(__xludf.DUMMYFUNCTION("if($G76="""",false, if(isna(match(R$2, split($G76:$G383,"", "",False),0)),false,true))"),FALSE)</f>
        <v>0</v>
      </c>
      <c r="S76" s="53" t="b">
        <f ca="1">IFERROR(__xludf.DUMMYFUNCTION("if($G76="""",false, if(isna(match(S$2, split($G76:$G383,"", "",False),0)),false,true))"),FALSE)</f>
        <v>0</v>
      </c>
      <c r="T76" s="53" t="b">
        <f ca="1">IFERROR(__xludf.DUMMYFUNCTION("if($G76="""",false, if(isna(match(T$2, split($G76:$G383,"", "",False),0)),false,true))"),FALSE)</f>
        <v>0</v>
      </c>
      <c r="U76" s="53" t="b">
        <f ca="1">IFERROR(__xludf.DUMMYFUNCTION("if($G76="""",false, if(isna(match(U$2, split($G76:$G383,"", "",False),0)),false,true))"),FALSE)</f>
        <v>0</v>
      </c>
      <c r="V76" s="53" t="b">
        <f ca="1">IFERROR(__xludf.DUMMYFUNCTION("if($G76="""",false, if(isna(match(V$2, split($G76:$G383,"", "",False),0)),false,true))"),FALSE)</f>
        <v>0</v>
      </c>
      <c r="W76" s="57" t="b">
        <f ca="1">IFERROR(__xludf.DUMMYFUNCTION("if($G76="""",false, if(isna(match(W$2, split($G76:$G383,"", "",False),0)),false,true))"),FALSE)</f>
        <v>0</v>
      </c>
    </row>
    <row r="77" spans="1:23" ht="28">
      <c r="A77" s="47" t="s">
        <v>308</v>
      </c>
      <c r="B77" s="48" t="s">
        <v>62</v>
      </c>
      <c r="C77" s="49" t="s">
        <v>240</v>
      </c>
      <c r="D77" s="50" t="s">
        <v>241</v>
      </c>
      <c r="E77" s="49" t="s">
        <v>300</v>
      </c>
      <c r="F77" s="51" t="s">
        <v>309</v>
      </c>
      <c r="G77" s="59"/>
      <c r="H77" s="53" t="b">
        <f ca="1">IFERROR(__xludf.DUMMYFUNCTION("if($G77="""",false, if(isna(match(H$2, split($G77:$G383,"", "",False),0)),false,true))"),FALSE)</f>
        <v>0</v>
      </c>
      <c r="I77" s="53" t="b">
        <f ca="1">IFERROR(__xludf.DUMMYFUNCTION("if($G77="""",false, if(isna(match(I$2, split($G77:$G383,"", "",False),0)),false,true))"),FALSE)</f>
        <v>0</v>
      </c>
      <c r="J77" s="53" t="b">
        <f ca="1">IFERROR(__xludf.DUMMYFUNCTION("if($G77="""",false, if(isna(match(J$2, split($G77:$G383,"", "",False),0)),false,true))"),FALSE)</f>
        <v>0</v>
      </c>
      <c r="K77" s="53" t="b">
        <f ca="1">IFERROR(__xludf.DUMMYFUNCTION("if($G77="""",false, if(isna(match(K$2, split($G77:$G383,"", "",False),0)),false,true))"),FALSE)</f>
        <v>0</v>
      </c>
      <c r="L77" s="53" t="b">
        <f ca="1">IFERROR(__xludf.DUMMYFUNCTION("if($G77="""",false, if(isna(match(L$2, split($G77:$G383,"", "",False),0)),false,true))"),FALSE)</f>
        <v>0</v>
      </c>
      <c r="M77" s="53" t="b">
        <f ca="1">IFERROR(__xludf.DUMMYFUNCTION("if($G77="""",false, if(isna(match(M$2, split($G77:$G383,"", "",False),0)),false,true))"),FALSE)</f>
        <v>0</v>
      </c>
      <c r="N77" s="53" t="b">
        <f ca="1">IFERROR(__xludf.DUMMYFUNCTION("if($G77="""",false, if(isna(match(N$2, split($G77:$G383,"", "",False),0)),false,true))"),FALSE)</f>
        <v>0</v>
      </c>
      <c r="O77" s="53" t="b">
        <f ca="1">IFERROR(__xludf.DUMMYFUNCTION("if($G77="""",false, if(isna(match(O$2, split($G77:$G383,"", "",False),0)),false,true))"),FALSE)</f>
        <v>0</v>
      </c>
      <c r="P77" s="53" t="b">
        <f ca="1">IFERROR(__xludf.DUMMYFUNCTION("if($G77="""",false, if(isna(match(P$2, split($G77:$G383,"", "",False),0)),false,true))"),FALSE)</f>
        <v>0</v>
      </c>
      <c r="Q77" s="53" t="b">
        <f ca="1">IFERROR(__xludf.DUMMYFUNCTION("if($G77="""",false, if(isna(match(Q$2, split($G77:$G383,"", "",False),0)),false,true))"),FALSE)</f>
        <v>0</v>
      </c>
      <c r="R77" s="53" t="b">
        <f ca="1">IFERROR(__xludf.DUMMYFUNCTION("if($G77="""",false, if(isna(match(R$2, split($G77:$G383,"", "",False),0)),false,true))"),FALSE)</f>
        <v>0</v>
      </c>
      <c r="S77" s="53" t="b">
        <f ca="1">IFERROR(__xludf.DUMMYFUNCTION("if($G77="""",false, if(isna(match(S$2, split($G77:$G383,"", "",False),0)),false,true))"),FALSE)</f>
        <v>0</v>
      </c>
      <c r="T77" s="53" t="b">
        <f ca="1">IFERROR(__xludf.DUMMYFUNCTION("if($G77="""",false, if(isna(match(T$2, split($G77:$G383,"", "",False),0)),false,true))"),FALSE)</f>
        <v>0</v>
      </c>
      <c r="U77" s="53" t="b">
        <f ca="1">IFERROR(__xludf.DUMMYFUNCTION("if($G77="""",false, if(isna(match(U$2, split($G77:$G383,"", "",False),0)),false,true))"),FALSE)</f>
        <v>0</v>
      </c>
      <c r="V77" s="53" t="b">
        <f ca="1">IFERROR(__xludf.DUMMYFUNCTION("if($G77="""",false, if(isna(match(V$2, split($G77:$G383,"", "",False),0)),false,true))"),FALSE)</f>
        <v>0</v>
      </c>
      <c r="W77" s="57" t="b">
        <f ca="1">IFERROR(__xludf.DUMMYFUNCTION("if($G77="""",false, if(isna(match(W$2, split($G77:$G383,"", "",False),0)),false,true))"),FALSE)</f>
        <v>0</v>
      </c>
    </row>
    <row r="78" spans="1:23" ht="28">
      <c r="A78" s="47" t="s">
        <v>310</v>
      </c>
      <c r="B78" s="48" t="s">
        <v>62</v>
      </c>
      <c r="C78" s="49" t="s">
        <v>240</v>
      </c>
      <c r="D78" s="50" t="s">
        <v>311</v>
      </c>
      <c r="E78" s="49" t="s">
        <v>312</v>
      </c>
      <c r="F78" s="51" t="s">
        <v>313</v>
      </c>
      <c r="G78" s="59"/>
      <c r="H78" s="53" t="b">
        <f ca="1">IFERROR(__xludf.DUMMYFUNCTION("if($G78="""",false, if(isna(match(H$2, split($G78:$G383,"", "",False),0)),false,true))"),FALSE)</f>
        <v>0</v>
      </c>
      <c r="I78" s="53" t="b">
        <f ca="1">IFERROR(__xludf.DUMMYFUNCTION("if($G78="""",false, if(isna(match(I$2, split($G78:$G383,"", "",False),0)),false,true))"),FALSE)</f>
        <v>0</v>
      </c>
      <c r="J78" s="53" t="b">
        <f ca="1">IFERROR(__xludf.DUMMYFUNCTION("if($G78="""",false, if(isna(match(J$2, split($G78:$G383,"", "",False),0)),false,true))"),FALSE)</f>
        <v>0</v>
      </c>
      <c r="K78" s="53" t="b">
        <f ca="1">IFERROR(__xludf.DUMMYFUNCTION("if($G78="""",false, if(isna(match(K$2, split($G78:$G383,"", "",False),0)),false,true))"),FALSE)</f>
        <v>0</v>
      </c>
      <c r="L78" s="53" t="b">
        <f ca="1">IFERROR(__xludf.DUMMYFUNCTION("if($G78="""",false, if(isna(match(L$2, split($G78:$G383,"", "",False),0)),false,true))"),FALSE)</f>
        <v>0</v>
      </c>
      <c r="M78" s="53" t="b">
        <f ca="1">IFERROR(__xludf.DUMMYFUNCTION("if($G78="""",false, if(isna(match(M$2, split($G78:$G383,"", "",False),0)),false,true))"),FALSE)</f>
        <v>0</v>
      </c>
      <c r="N78" s="53" t="b">
        <f ca="1">IFERROR(__xludf.DUMMYFUNCTION("if($G78="""",false, if(isna(match(N$2, split($G78:$G383,"", "",False),0)),false,true))"),FALSE)</f>
        <v>0</v>
      </c>
      <c r="O78" s="53" t="b">
        <f ca="1">IFERROR(__xludf.DUMMYFUNCTION("if($G78="""",false, if(isna(match(O$2, split($G78:$G383,"", "",False),0)),false,true))"),FALSE)</f>
        <v>0</v>
      </c>
      <c r="P78" s="53" t="b">
        <f ca="1">IFERROR(__xludf.DUMMYFUNCTION("if($G78="""",false, if(isna(match(P$2, split($G78:$G383,"", "",False),0)),false,true))"),FALSE)</f>
        <v>0</v>
      </c>
      <c r="Q78" s="53" t="b">
        <f ca="1">IFERROR(__xludf.DUMMYFUNCTION("if($G78="""",false, if(isna(match(Q$2, split($G78:$G383,"", "",False),0)),false,true))"),FALSE)</f>
        <v>0</v>
      </c>
      <c r="R78" s="53" t="b">
        <f ca="1">IFERROR(__xludf.DUMMYFUNCTION("if($G78="""",false, if(isna(match(R$2, split($G78:$G383,"", "",False),0)),false,true))"),FALSE)</f>
        <v>0</v>
      </c>
      <c r="S78" s="53" t="b">
        <f ca="1">IFERROR(__xludf.DUMMYFUNCTION("if($G78="""",false, if(isna(match(S$2, split($G78:$G383,"", "",False),0)),false,true))"),FALSE)</f>
        <v>0</v>
      </c>
      <c r="T78" s="53" t="b">
        <f ca="1">IFERROR(__xludf.DUMMYFUNCTION("if($G78="""",false, if(isna(match(T$2, split($G78:$G383,"", "",False),0)),false,true))"),FALSE)</f>
        <v>0</v>
      </c>
      <c r="U78" s="53" t="b">
        <f ca="1">IFERROR(__xludf.DUMMYFUNCTION("if($G78="""",false, if(isna(match(U$2, split($G78:$G383,"", "",False),0)),false,true))"),FALSE)</f>
        <v>0</v>
      </c>
      <c r="V78" s="53" t="b">
        <f ca="1">IFERROR(__xludf.DUMMYFUNCTION("if($G78="""",false, if(isna(match(V$2, split($G78:$G383,"", "",False),0)),false,true))"),FALSE)</f>
        <v>0</v>
      </c>
      <c r="W78" s="57" t="b">
        <f ca="1">IFERROR(__xludf.DUMMYFUNCTION("if($G78="""",false, if(isna(match(W$2, split($G78:$G383,"", "",False),0)),false,true))"),FALSE)</f>
        <v>0</v>
      </c>
    </row>
    <row r="79" spans="1:23" ht="70">
      <c r="A79" s="47" t="s">
        <v>314</v>
      </c>
      <c r="B79" s="48" t="s">
        <v>62</v>
      </c>
      <c r="C79" s="49" t="s">
        <v>240</v>
      </c>
      <c r="D79" s="50" t="s">
        <v>311</v>
      </c>
      <c r="E79" s="49" t="s">
        <v>79</v>
      </c>
      <c r="F79" s="51" t="s">
        <v>315</v>
      </c>
      <c r="G79" s="59" t="s">
        <v>316</v>
      </c>
      <c r="H79" s="53" t="b">
        <f ca="1">IFERROR(__xludf.DUMMYFUNCTION("if($G79="""",false, if(isna(match(H$2, split($G79:$G383,"", "",False),0)),false,true))"),FALSE)</f>
        <v>0</v>
      </c>
      <c r="I79" s="53" t="b">
        <f ca="1">IFERROR(__xludf.DUMMYFUNCTION("if($G79="""",false, if(isna(match(I$2, split($G79:$G383,"", "",False),0)),false,true))"),TRUE)</f>
        <v>1</v>
      </c>
      <c r="J79" s="53" t="b">
        <f ca="1">IFERROR(__xludf.DUMMYFUNCTION("if($G79="""",false, if(isna(match(J$2, split($G79:$G383,"", "",False),0)),false,true))"),FALSE)</f>
        <v>0</v>
      </c>
      <c r="K79" s="53" t="b">
        <f ca="1">IFERROR(__xludf.DUMMYFUNCTION("if($G79="""",false, if(isna(match(K$2, split($G79:$G383,"", "",False),0)),false,true))"),FALSE)</f>
        <v>0</v>
      </c>
      <c r="L79" s="53" t="b">
        <f ca="1">IFERROR(__xludf.DUMMYFUNCTION("if($G79="""",false, if(isna(match(L$2, split($G79:$G383,"", "",False),0)),false,true))"),FALSE)</f>
        <v>0</v>
      </c>
      <c r="M79" s="53" t="b">
        <f ca="1">IFERROR(__xludf.DUMMYFUNCTION("if($G79="""",false, if(isna(match(M$2, split($G79:$G383,"", "",False),0)),false,true))"),FALSE)</f>
        <v>0</v>
      </c>
      <c r="N79" s="53" t="b">
        <f ca="1">IFERROR(__xludf.DUMMYFUNCTION("if($G79="""",false, if(isna(match(N$2, split($G79:$G383,"", "",False),0)),false,true))"),FALSE)</f>
        <v>0</v>
      </c>
      <c r="O79" s="53" t="b">
        <f ca="1">IFERROR(__xludf.DUMMYFUNCTION("if($G79="""",false, if(isna(match(O$2, split($G79:$G383,"", "",False),0)),false,true))"),FALSE)</f>
        <v>0</v>
      </c>
      <c r="P79" s="53" t="b">
        <f ca="1">IFERROR(__xludf.DUMMYFUNCTION("if($G79="""",false, if(isna(match(P$2, split($G79:$G383,"", "",False),0)),false,true))"),FALSE)</f>
        <v>0</v>
      </c>
      <c r="Q79" s="53" t="b">
        <f ca="1">IFERROR(__xludf.DUMMYFUNCTION("if($G79="""",false, if(isna(match(Q$2, split($G79:$G383,"", "",False),0)),false,true))"),FALSE)</f>
        <v>0</v>
      </c>
      <c r="R79" s="53" t="b">
        <f ca="1">IFERROR(__xludf.DUMMYFUNCTION("if($G79="""",false, if(isna(match(R$2, split($G79:$G383,"", "",False),0)),false,true))"),FALSE)</f>
        <v>0</v>
      </c>
      <c r="S79" s="53" t="b">
        <f ca="1">IFERROR(__xludf.DUMMYFUNCTION("if($G79="""",false, if(isna(match(S$2, split($G79:$G383,"", "",False),0)),false,true))"),TRUE)</f>
        <v>1</v>
      </c>
      <c r="T79" s="53" t="b">
        <f ca="1">IFERROR(__xludf.DUMMYFUNCTION("if($G79="""",false, if(isna(match(T$2, split($G79:$G383,"", "",False),0)),false,true))"),FALSE)</f>
        <v>0</v>
      </c>
      <c r="U79" s="53" t="b">
        <f ca="1">IFERROR(__xludf.DUMMYFUNCTION("if($G79="""",false, if(isna(match(U$2, split($G79:$G383,"", "",False),0)),false,true))"),FALSE)</f>
        <v>0</v>
      </c>
      <c r="V79" s="53" t="b">
        <f ca="1">IFERROR(__xludf.DUMMYFUNCTION("if($G79="""",false, if(isna(match(V$2, split($G79:$G383,"", "",False),0)),false,true))"),FALSE)</f>
        <v>0</v>
      </c>
      <c r="W79" s="57" t="b">
        <f ca="1">IFERROR(__xludf.DUMMYFUNCTION("if($G79="""",false, if(isna(match(W$2, split($G79:$G383,"", "",False),0)),false,true))"),FALSE)</f>
        <v>0</v>
      </c>
    </row>
    <row r="80" spans="1:23" ht="70">
      <c r="A80" s="47" t="s">
        <v>317</v>
      </c>
      <c r="B80" s="48" t="s">
        <v>62</v>
      </c>
      <c r="C80" s="49" t="s">
        <v>240</v>
      </c>
      <c r="D80" s="50" t="s">
        <v>311</v>
      </c>
      <c r="E80" s="49" t="s">
        <v>79</v>
      </c>
      <c r="F80" s="51" t="s">
        <v>318</v>
      </c>
      <c r="G80" s="59" t="s">
        <v>109</v>
      </c>
      <c r="H80" s="53" t="b">
        <f ca="1">IFERROR(__xludf.DUMMYFUNCTION("if($G80="""",false, if(isna(match(H$2, split($G80:$G383,"", "",False),0)),false,true))"),FALSE)</f>
        <v>0</v>
      </c>
      <c r="I80" s="53" t="b">
        <f ca="1">IFERROR(__xludf.DUMMYFUNCTION("if($G80="""",false, if(isna(match(I$2, split($G80:$G383,"", "",False),0)),false,true))"),TRUE)</f>
        <v>1</v>
      </c>
      <c r="J80" s="53" t="b">
        <f ca="1">IFERROR(__xludf.DUMMYFUNCTION("if($G80="""",false, if(isna(match(J$2, split($G80:$G383,"", "",False),0)),false,true))"),FALSE)</f>
        <v>0</v>
      </c>
      <c r="K80" s="53" t="b">
        <f ca="1">IFERROR(__xludf.DUMMYFUNCTION("if($G80="""",false, if(isna(match(K$2, split($G80:$G383,"", "",False),0)),false,true))"),FALSE)</f>
        <v>0</v>
      </c>
      <c r="L80" s="53" t="b">
        <f ca="1">IFERROR(__xludf.DUMMYFUNCTION("if($G80="""",false, if(isna(match(L$2, split($G80:$G383,"", "",False),0)),false,true))"),FALSE)</f>
        <v>0</v>
      </c>
      <c r="M80" s="53" t="b">
        <f ca="1">IFERROR(__xludf.DUMMYFUNCTION("if($G80="""",false, if(isna(match(M$2, split($G80:$G383,"", "",False),0)),false,true))"),FALSE)</f>
        <v>0</v>
      </c>
      <c r="N80" s="53" t="b">
        <f ca="1">IFERROR(__xludf.DUMMYFUNCTION("if($G80="""",false, if(isna(match(N$2, split($G80:$G383,"", "",False),0)),false,true))"),FALSE)</f>
        <v>0</v>
      </c>
      <c r="O80" s="53" t="b">
        <f ca="1">IFERROR(__xludf.DUMMYFUNCTION("if($G80="""",false, if(isna(match(O$2, split($G80:$G383,"", "",False),0)),false,true))"),FALSE)</f>
        <v>0</v>
      </c>
      <c r="P80" s="53" t="b">
        <f ca="1">IFERROR(__xludf.DUMMYFUNCTION("if($G80="""",false, if(isna(match(P$2, split($G80:$G383,"", "",False),0)),false,true))"),FALSE)</f>
        <v>0</v>
      </c>
      <c r="Q80" s="53" t="b">
        <f ca="1">IFERROR(__xludf.DUMMYFUNCTION("if($G80="""",false, if(isna(match(Q$2, split($G80:$G383,"", "",False),0)),false,true))"),FALSE)</f>
        <v>0</v>
      </c>
      <c r="R80" s="53" t="b">
        <f ca="1">IFERROR(__xludf.DUMMYFUNCTION("if($G80="""",false, if(isna(match(R$2, split($G80:$G383,"", "",False),0)),false,true))"),FALSE)</f>
        <v>0</v>
      </c>
      <c r="S80" s="53" t="b">
        <f ca="1">IFERROR(__xludf.DUMMYFUNCTION("if($G80="""",false, if(isna(match(S$2, split($G80:$G383,"", "",False),0)),false,true))"),FALSE)</f>
        <v>0</v>
      </c>
      <c r="T80" s="53" t="b">
        <f ca="1">IFERROR(__xludf.DUMMYFUNCTION("if($G80="""",false, if(isna(match(T$2, split($G80:$G383,"", "",False),0)),false,true))"),FALSE)</f>
        <v>0</v>
      </c>
      <c r="U80" s="53" t="b">
        <f ca="1">IFERROR(__xludf.DUMMYFUNCTION("if($G80="""",false, if(isna(match(U$2, split($G80:$G383,"", "",False),0)),false,true))"),FALSE)</f>
        <v>0</v>
      </c>
      <c r="V80" s="53" t="b">
        <f ca="1">IFERROR(__xludf.DUMMYFUNCTION("if($G80="""",false, if(isna(match(V$2, split($G80:$G383,"", "",False),0)),false,true))"),FALSE)</f>
        <v>0</v>
      </c>
      <c r="W80" s="57" t="b">
        <f ca="1">IFERROR(__xludf.DUMMYFUNCTION("if($G80="""",false, if(isna(match(W$2, split($G80:$G383,"", "",False),0)),false,true))"),FALSE)</f>
        <v>0</v>
      </c>
    </row>
    <row r="81" spans="1:23" ht="168">
      <c r="A81" s="47" t="s">
        <v>319</v>
      </c>
      <c r="B81" s="48" t="s">
        <v>62</v>
      </c>
      <c r="C81" s="49" t="s">
        <v>240</v>
      </c>
      <c r="D81" s="50" t="s">
        <v>311</v>
      </c>
      <c r="E81" s="49" t="s">
        <v>79</v>
      </c>
      <c r="F81" s="51" t="s">
        <v>320</v>
      </c>
      <c r="G81" s="59" t="s">
        <v>109</v>
      </c>
      <c r="H81" s="53" t="b">
        <f ca="1">IFERROR(__xludf.DUMMYFUNCTION("if($G81="""",false, if(isna(match(H$2, split($G81:$G383,"", "",False),0)),false,true))"),FALSE)</f>
        <v>0</v>
      </c>
      <c r="I81" s="53" t="b">
        <f ca="1">IFERROR(__xludf.DUMMYFUNCTION("if($G81="""",false, if(isna(match(I$2, split($G81:$G383,"", "",False),0)),false,true))"),TRUE)</f>
        <v>1</v>
      </c>
      <c r="J81" s="53" t="b">
        <f ca="1">IFERROR(__xludf.DUMMYFUNCTION("if($G81="""",false, if(isna(match(J$2, split($G81:$G383,"", "",False),0)),false,true))"),FALSE)</f>
        <v>0</v>
      </c>
      <c r="K81" s="53" t="b">
        <f ca="1">IFERROR(__xludf.DUMMYFUNCTION("if($G81="""",false, if(isna(match(K$2, split($G81:$G383,"", "",False),0)),false,true))"),FALSE)</f>
        <v>0</v>
      </c>
      <c r="L81" s="53" t="b">
        <f ca="1">IFERROR(__xludf.DUMMYFUNCTION("if($G81="""",false, if(isna(match(L$2, split($G81:$G383,"", "",False),0)),false,true))"),FALSE)</f>
        <v>0</v>
      </c>
      <c r="M81" s="53" t="b">
        <f ca="1">IFERROR(__xludf.DUMMYFUNCTION("if($G81="""",false, if(isna(match(M$2, split($G81:$G383,"", "",False),0)),false,true))"),FALSE)</f>
        <v>0</v>
      </c>
      <c r="N81" s="53" t="b">
        <f ca="1">IFERROR(__xludf.DUMMYFUNCTION("if($G81="""",false, if(isna(match(N$2, split($G81:$G383,"", "",False),0)),false,true))"),FALSE)</f>
        <v>0</v>
      </c>
      <c r="O81" s="53" t="b">
        <f ca="1">IFERROR(__xludf.DUMMYFUNCTION("if($G81="""",false, if(isna(match(O$2, split($G81:$G383,"", "",False),0)),false,true))"),FALSE)</f>
        <v>0</v>
      </c>
      <c r="P81" s="53" t="b">
        <f ca="1">IFERROR(__xludf.DUMMYFUNCTION("if($G81="""",false, if(isna(match(P$2, split($G81:$G383,"", "",False),0)),false,true))"),FALSE)</f>
        <v>0</v>
      </c>
      <c r="Q81" s="53" t="b">
        <f ca="1">IFERROR(__xludf.DUMMYFUNCTION("if($G81="""",false, if(isna(match(Q$2, split($G81:$G383,"", "",False),0)),false,true))"),FALSE)</f>
        <v>0</v>
      </c>
      <c r="R81" s="53" t="b">
        <f ca="1">IFERROR(__xludf.DUMMYFUNCTION("if($G81="""",false, if(isna(match(R$2, split($G81:$G383,"", "",False),0)),false,true))"),FALSE)</f>
        <v>0</v>
      </c>
      <c r="S81" s="53" t="b">
        <f ca="1">IFERROR(__xludf.DUMMYFUNCTION("if($G81="""",false, if(isna(match(S$2, split($G81:$G383,"", "",False),0)),false,true))"),FALSE)</f>
        <v>0</v>
      </c>
      <c r="T81" s="53" t="b">
        <f ca="1">IFERROR(__xludf.DUMMYFUNCTION("if($G81="""",false, if(isna(match(T$2, split($G81:$G383,"", "",False),0)),false,true))"),FALSE)</f>
        <v>0</v>
      </c>
      <c r="U81" s="53" t="b">
        <f ca="1">IFERROR(__xludf.DUMMYFUNCTION("if($G81="""",false, if(isna(match(U$2, split($G81:$G383,"", "",False),0)),false,true))"),FALSE)</f>
        <v>0</v>
      </c>
      <c r="V81" s="53" t="b">
        <f ca="1">IFERROR(__xludf.DUMMYFUNCTION("if($G81="""",false, if(isna(match(V$2, split($G81:$G383,"", "",False),0)),false,true))"),FALSE)</f>
        <v>0</v>
      </c>
      <c r="W81" s="57" t="b">
        <f ca="1">IFERROR(__xludf.DUMMYFUNCTION("if($G81="""",false, if(isna(match(W$2, split($G81:$G383,"", "",False),0)),false,true))"),FALSE)</f>
        <v>0</v>
      </c>
    </row>
    <row r="82" spans="1:23" ht="42">
      <c r="A82" s="47" t="s">
        <v>321</v>
      </c>
      <c r="B82" s="48" t="s">
        <v>62</v>
      </c>
      <c r="C82" s="49" t="s">
        <v>240</v>
      </c>
      <c r="D82" s="50" t="s">
        <v>311</v>
      </c>
      <c r="E82" s="49" t="s">
        <v>79</v>
      </c>
      <c r="F82" s="51" t="s">
        <v>322</v>
      </c>
      <c r="G82" s="59" t="s">
        <v>117</v>
      </c>
      <c r="H82" s="53" t="b">
        <f ca="1">IFERROR(__xludf.DUMMYFUNCTION("if($G82="""",false, if(isna(match(H$2, split($G82:$G383,"", "",False),0)),false,true))"),FALSE)</f>
        <v>0</v>
      </c>
      <c r="I82" s="53" t="b">
        <f ca="1">IFERROR(__xludf.DUMMYFUNCTION("if($G82="""",false, if(isna(match(I$2, split($G82:$G383,"", "",False),0)),false,true))"),FALSE)</f>
        <v>0</v>
      </c>
      <c r="J82" s="53" t="b">
        <f ca="1">IFERROR(__xludf.DUMMYFUNCTION("if($G82="""",false, if(isna(match(J$2, split($G82:$G383,"", "",False),0)),false,true))"),FALSE)</f>
        <v>0</v>
      </c>
      <c r="K82" s="53" t="b">
        <f ca="1">IFERROR(__xludf.DUMMYFUNCTION("if($G82="""",false, if(isna(match(K$2, split($G82:$G383,"", "",False),0)),false,true))"),FALSE)</f>
        <v>0</v>
      </c>
      <c r="L82" s="53" t="b">
        <f ca="1">IFERROR(__xludf.DUMMYFUNCTION("if($G82="""",false, if(isna(match(L$2, split($G82:$G383,"", "",False),0)),false,true))"),FALSE)</f>
        <v>0</v>
      </c>
      <c r="M82" s="53" t="b">
        <f ca="1">IFERROR(__xludf.DUMMYFUNCTION("if($G82="""",false, if(isna(match(M$2, split($G82:$G383,"", "",False),0)),false,true))"),FALSE)</f>
        <v>0</v>
      </c>
      <c r="N82" s="53" t="b">
        <f ca="1">IFERROR(__xludf.DUMMYFUNCTION("if($G82="""",false, if(isna(match(N$2, split($G82:$G383,"", "",False),0)),false,true))"),FALSE)</f>
        <v>0</v>
      </c>
      <c r="O82" s="53" t="b">
        <f ca="1">IFERROR(__xludf.DUMMYFUNCTION("if($G82="""",false, if(isna(match(O$2, split($G82:$G383,"", "",False),0)),false,true))"),FALSE)</f>
        <v>0</v>
      </c>
      <c r="P82" s="53" t="b">
        <f ca="1">IFERROR(__xludf.DUMMYFUNCTION("if($G82="""",false, if(isna(match(P$2, split($G82:$G383,"", "",False),0)),false,true))"),FALSE)</f>
        <v>0</v>
      </c>
      <c r="Q82" s="53" t="b">
        <f ca="1">IFERROR(__xludf.DUMMYFUNCTION("if($G82="""",false, if(isna(match(Q$2, split($G82:$G383,"", "",False),0)),false,true))"),TRUE)</f>
        <v>1</v>
      </c>
      <c r="R82" s="53" t="b">
        <f ca="1">IFERROR(__xludf.DUMMYFUNCTION("if($G82="""",false, if(isna(match(R$2, split($G82:$G383,"", "",False),0)),false,true))"),FALSE)</f>
        <v>0</v>
      </c>
      <c r="S82" s="53" t="b">
        <f ca="1">IFERROR(__xludf.DUMMYFUNCTION("if($G82="""",false, if(isna(match(S$2, split($G82:$G383,"", "",False),0)),false,true))"),FALSE)</f>
        <v>0</v>
      </c>
      <c r="T82" s="53" t="b">
        <f ca="1">IFERROR(__xludf.DUMMYFUNCTION("if($G82="""",false, if(isna(match(T$2, split($G82:$G383,"", "",False),0)),false,true))"),FALSE)</f>
        <v>0</v>
      </c>
      <c r="U82" s="53" t="b">
        <f ca="1">IFERROR(__xludf.DUMMYFUNCTION("if($G82="""",false, if(isna(match(U$2, split($G82:$G383,"", "",False),0)),false,true))"),FALSE)</f>
        <v>0</v>
      </c>
      <c r="V82" s="53" t="b">
        <f ca="1">IFERROR(__xludf.DUMMYFUNCTION("if($G82="""",false, if(isna(match(V$2, split($G82:$G383,"", "",False),0)),false,true))"),FALSE)</f>
        <v>0</v>
      </c>
      <c r="W82" s="57" t="b">
        <f ca="1">IFERROR(__xludf.DUMMYFUNCTION("if($G82="""",false, if(isna(match(W$2, split($G82:$G383,"", "",False),0)),false,true))"),FALSE)</f>
        <v>0</v>
      </c>
    </row>
    <row r="83" spans="1:23" ht="56">
      <c r="A83" s="47" t="s">
        <v>323</v>
      </c>
      <c r="B83" s="48" t="s">
        <v>62</v>
      </c>
      <c r="C83" s="49" t="s">
        <v>240</v>
      </c>
      <c r="D83" s="50" t="s">
        <v>311</v>
      </c>
      <c r="E83" s="49" t="s">
        <v>79</v>
      </c>
      <c r="F83" s="51" t="s">
        <v>324</v>
      </c>
      <c r="G83" s="59" t="s">
        <v>109</v>
      </c>
      <c r="H83" s="53" t="b">
        <f ca="1">IFERROR(__xludf.DUMMYFUNCTION("if($G83="""",false, if(isna(match(H$2, split($G83:$G383,"", "",False),0)),false,true))"),FALSE)</f>
        <v>0</v>
      </c>
      <c r="I83" s="53" t="b">
        <f ca="1">IFERROR(__xludf.DUMMYFUNCTION("if($G83="""",false, if(isna(match(I$2, split($G83:$G383,"", "",False),0)),false,true))"),TRUE)</f>
        <v>1</v>
      </c>
      <c r="J83" s="53" t="b">
        <f ca="1">IFERROR(__xludf.DUMMYFUNCTION("if($G83="""",false, if(isna(match(J$2, split($G83:$G383,"", "",False),0)),false,true))"),FALSE)</f>
        <v>0</v>
      </c>
      <c r="K83" s="53" t="b">
        <f ca="1">IFERROR(__xludf.DUMMYFUNCTION("if($G83="""",false, if(isna(match(K$2, split($G83:$G383,"", "",False),0)),false,true))"),FALSE)</f>
        <v>0</v>
      </c>
      <c r="L83" s="53" t="b">
        <f ca="1">IFERROR(__xludf.DUMMYFUNCTION("if($G83="""",false, if(isna(match(L$2, split($G83:$G383,"", "",False),0)),false,true))"),FALSE)</f>
        <v>0</v>
      </c>
      <c r="M83" s="53" t="b">
        <f ca="1">IFERROR(__xludf.DUMMYFUNCTION("if($G83="""",false, if(isna(match(M$2, split($G83:$G383,"", "",False),0)),false,true))"),FALSE)</f>
        <v>0</v>
      </c>
      <c r="N83" s="53" t="b">
        <f ca="1">IFERROR(__xludf.DUMMYFUNCTION("if($G83="""",false, if(isna(match(N$2, split($G83:$G383,"", "",False),0)),false,true))"),FALSE)</f>
        <v>0</v>
      </c>
      <c r="O83" s="53" t="b">
        <f ca="1">IFERROR(__xludf.DUMMYFUNCTION("if($G83="""",false, if(isna(match(O$2, split($G83:$G383,"", "",False),0)),false,true))"),FALSE)</f>
        <v>0</v>
      </c>
      <c r="P83" s="53" t="b">
        <f ca="1">IFERROR(__xludf.DUMMYFUNCTION("if($G83="""",false, if(isna(match(P$2, split($G83:$G383,"", "",False),0)),false,true))"),FALSE)</f>
        <v>0</v>
      </c>
      <c r="Q83" s="53" t="b">
        <f ca="1">IFERROR(__xludf.DUMMYFUNCTION("if($G83="""",false, if(isna(match(Q$2, split($G83:$G383,"", "",False),0)),false,true))"),FALSE)</f>
        <v>0</v>
      </c>
      <c r="R83" s="53" t="b">
        <f ca="1">IFERROR(__xludf.DUMMYFUNCTION("if($G83="""",false, if(isna(match(R$2, split($G83:$G383,"", "",False),0)),false,true))"),FALSE)</f>
        <v>0</v>
      </c>
      <c r="S83" s="53" t="b">
        <f ca="1">IFERROR(__xludf.DUMMYFUNCTION("if($G83="""",false, if(isna(match(S$2, split($G83:$G383,"", "",False),0)),false,true))"),FALSE)</f>
        <v>0</v>
      </c>
      <c r="T83" s="53" t="b">
        <f ca="1">IFERROR(__xludf.DUMMYFUNCTION("if($G83="""",false, if(isna(match(T$2, split($G83:$G383,"", "",False),0)),false,true))"),FALSE)</f>
        <v>0</v>
      </c>
      <c r="U83" s="53" t="b">
        <f ca="1">IFERROR(__xludf.DUMMYFUNCTION("if($G83="""",false, if(isna(match(U$2, split($G83:$G383,"", "",False),0)),false,true))"),FALSE)</f>
        <v>0</v>
      </c>
      <c r="V83" s="53" t="b">
        <f ca="1">IFERROR(__xludf.DUMMYFUNCTION("if($G83="""",false, if(isna(match(V$2, split($G83:$G383,"", "",False),0)),false,true))"),FALSE)</f>
        <v>0</v>
      </c>
      <c r="W83" s="57" t="b">
        <f ca="1">IFERROR(__xludf.DUMMYFUNCTION("if($G83="""",false, if(isna(match(W$2, split($G83:$G383,"", "",False),0)),false,true))"),FALSE)</f>
        <v>0</v>
      </c>
    </row>
    <row r="84" spans="1:23" ht="70">
      <c r="A84" s="47" t="s">
        <v>325</v>
      </c>
      <c r="B84" s="48" t="s">
        <v>62</v>
      </c>
      <c r="C84" s="49" t="s">
        <v>240</v>
      </c>
      <c r="D84" s="50" t="s">
        <v>311</v>
      </c>
      <c r="E84" s="49" t="s">
        <v>326</v>
      </c>
      <c r="F84" s="51" t="s">
        <v>327</v>
      </c>
      <c r="G84" s="59" t="s">
        <v>328</v>
      </c>
      <c r="H84" s="53" t="b">
        <f ca="1">IFERROR(__xludf.DUMMYFUNCTION("if($G84="""",false, if(isna(match(H$2, split($G84:$G383,"", "",False),0)),false,true))"),FALSE)</f>
        <v>0</v>
      </c>
      <c r="I84" s="53" t="b">
        <f ca="1">IFERROR(__xludf.DUMMYFUNCTION("if($G84="""",false, if(isna(match(I$2, split($G84:$G383,"", "",False),0)),false,true))"),FALSE)</f>
        <v>0</v>
      </c>
      <c r="J84" s="53" t="b">
        <f ca="1">IFERROR(__xludf.DUMMYFUNCTION("if($G84="""",false, if(isna(match(J$2, split($G84:$G383,"", "",False),0)),false,true))"),FALSE)</f>
        <v>0</v>
      </c>
      <c r="K84" s="53" t="b">
        <f ca="1">IFERROR(__xludf.DUMMYFUNCTION("if($G84="""",false, if(isna(match(K$2, split($G84:$G383,"", "",False),0)),false,true))"),FALSE)</f>
        <v>0</v>
      </c>
      <c r="L84" s="53" t="b">
        <f ca="1">IFERROR(__xludf.DUMMYFUNCTION("if($G84="""",false, if(isna(match(L$2, split($G84:$G383,"", "",False),0)),false,true))"),FALSE)</f>
        <v>0</v>
      </c>
      <c r="M84" s="53" t="b">
        <f ca="1">IFERROR(__xludf.DUMMYFUNCTION("if($G84="""",false, if(isna(match(M$2, split($G84:$G383,"", "",False),0)),false,true))"),FALSE)</f>
        <v>0</v>
      </c>
      <c r="N84" s="53" t="b">
        <f ca="1">IFERROR(__xludf.DUMMYFUNCTION("if($G84="""",false, if(isna(match(N$2, split($G84:$G383,"", "",False),0)),false,true))"),FALSE)</f>
        <v>0</v>
      </c>
      <c r="O84" s="53" t="b">
        <f ca="1">IFERROR(__xludf.DUMMYFUNCTION("if($G84="""",false, if(isna(match(O$2, split($G84:$G383,"", "",False),0)),false,true))"),FALSE)</f>
        <v>0</v>
      </c>
      <c r="P84" s="53" t="b">
        <f ca="1">IFERROR(__xludf.DUMMYFUNCTION("if($G84="""",false, if(isna(match(P$2, split($G84:$G383,"", "",False),0)),false,true))"),FALSE)</f>
        <v>0</v>
      </c>
      <c r="Q84" s="53" t="b">
        <f ca="1">IFERROR(__xludf.DUMMYFUNCTION("if($G84="""",false, if(isna(match(Q$2, split($G84:$G383,"", "",False),0)),false,true))"),FALSE)</f>
        <v>0</v>
      </c>
      <c r="R84" s="53" t="b">
        <f ca="1">IFERROR(__xludf.DUMMYFUNCTION("if($G84="""",false, if(isna(match(R$2, split($G84:$G383,"", "",False),0)),false,true))"),FALSE)</f>
        <v>0</v>
      </c>
      <c r="S84" s="53" t="b">
        <f ca="1">IFERROR(__xludf.DUMMYFUNCTION("if($G84="""",false, if(isna(match(S$2, split($G84:$G383,"", "",False),0)),false,true))"),FALSE)</f>
        <v>0</v>
      </c>
      <c r="T84" s="53" t="b">
        <f ca="1">IFERROR(__xludf.DUMMYFUNCTION("if($G84="""",false, if(isna(match(T$2, split($G84:$G383,"", "",False),0)),false,true))"),FALSE)</f>
        <v>0</v>
      </c>
      <c r="U84" s="53" t="b">
        <f ca="1">IFERROR(__xludf.DUMMYFUNCTION("if($G84="""",false, if(isna(match(U$2, split($G84:$G383,"", "",False),0)),false,true))"),FALSE)</f>
        <v>0</v>
      </c>
      <c r="V84" s="53" t="b">
        <f ca="1">IFERROR(__xludf.DUMMYFUNCTION("if($G84="""",false, if(isna(match(V$2, split($G84:$G383,"", "",False),0)),false,true))"),FALSE)</f>
        <v>0</v>
      </c>
      <c r="W84" s="57" t="b">
        <f ca="1">IFERROR(__xludf.DUMMYFUNCTION("if($G84="""",false, if(isna(match(W$2, split($G84:$G383,"", "",False),0)),false,true))"),FALSE)</f>
        <v>0</v>
      </c>
    </row>
    <row r="85" spans="1:23" ht="140">
      <c r="A85" s="47" t="s">
        <v>329</v>
      </c>
      <c r="B85" s="48" t="s">
        <v>62</v>
      </c>
      <c r="C85" s="49" t="s">
        <v>240</v>
      </c>
      <c r="D85" s="50" t="s">
        <v>311</v>
      </c>
      <c r="E85" s="49" t="s">
        <v>326</v>
      </c>
      <c r="F85" s="51" t="s">
        <v>330</v>
      </c>
      <c r="G85" s="59" t="s">
        <v>109</v>
      </c>
      <c r="H85" s="53" t="b">
        <f ca="1">IFERROR(__xludf.DUMMYFUNCTION("if($G85="""",false, if(isna(match(H$2, split($G85:$G383,"", "",False),0)),false,true))"),FALSE)</f>
        <v>0</v>
      </c>
      <c r="I85" s="53" t="b">
        <f ca="1">IFERROR(__xludf.DUMMYFUNCTION("if($G85="""",false, if(isna(match(I$2, split($G85:$G383,"", "",False),0)),false,true))"),TRUE)</f>
        <v>1</v>
      </c>
      <c r="J85" s="53" t="b">
        <f ca="1">IFERROR(__xludf.DUMMYFUNCTION("if($G85="""",false, if(isna(match(J$2, split($G85:$G383,"", "",False),0)),false,true))"),FALSE)</f>
        <v>0</v>
      </c>
      <c r="K85" s="53" t="b">
        <f ca="1">IFERROR(__xludf.DUMMYFUNCTION("if($G85="""",false, if(isna(match(K$2, split($G85:$G383,"", "",False),0)),false,true))"),FALSE)</f>
        <v>0</v>
      </c>
      <c r="L85" s="53" t="b">
        <f ca="1">IFERROR(__xludf.DUMMYFUNCTION("if($G85="""",false, if(isna(match(L$2, split($G85:$G383,"", "",False),0)),false,true))"),FALSE)</f>
        <v>0</v>
      </c>
      <c r="M85" s="53" t="b">
        <f ca="1">IFERROR(__xludf.DUMMYFUNCTION("if($G85="""",false, if(isna(match(M$2, split($G85:$G383,"", "",False),0)),false,true))"),FALSE)</f>
        <v>0</v>
      </c>
      <c r="N85" s="53" t="b">
        <f ca="1">IFERROR(__xludf.DUMMYFUNCTION("if($G85="""",false, if(isna(match(N$2, split($G85:$G383,"", "",False),0)),false,true))"),FALSE)</f>
        <v>0</v>
      </c>
      <c r="O85" s="53" t="b">
        <f ca="1">IFERROR(__xludf.DUMMYFUNCTION("if($G85="""",false, if(isna(match(O$2, split($G85:$G383,"", "",False),0)),false,true))"),FALSE)</f>
        <v>0</v>
      </c>
      <c r="P85" s="53" t="b">
        <f ca="1">IFERROR(__xludf.DUMMYFUNCTION("if($G85="""",false, if(isna(match(P$2, split($G85:$G383,"", "",False),0)),false,true))"),FALSE)</f>
        <v>0</v>
      </c>
      <c r="Q85" s="53" t="b">
        <f ca="1">IFERROR(__xludf.DUMMYFUNCTION("if($G85="""",false, if(isna(match(Q$2, split($G85:$G383,"", "",False),0)),false,true))"),FALSE)</f>
        <v>0</v>
      </c>
      <c r="R85" s="53" t="b">
        <f ca="1">IFERROR(__xludf.DUMMYFUNCTION("if($G85="""",false, if(isna(match(R$2, split($G85:$G383,"", "",False),0)),false,true))"),FALSE)</f>
        <v>0</v>
      </c>
      <c r="S85" s="53" t="b">
        <f ca="1">IFERROR(__xludf.DUMMYFUNCTION("if($G85="""",false, if(isna(match(S$2, split($G85:$G383,"", "",False),0)),false,true))"),FALSE)</f>
        <v>0</v>
      </c>
      <c r="T85" s="53" t="b">
        <f ca="1">IFERROR(__xludf.DUMMYFUNCTION("if($G85="""",false, if(isna(match(T$2, split($G85:$G383,"", "",False),0)),false,true))"),FALSE)</f>
        <v>0</v>
      </c>
      <c r="U85" s="53" t="b">
        <f ca="1">IFERROR(__xludf.DUMMYFUNCTION("if($G85="""",false, if(isna(match(U$2, split($G85:$G383,"", "",False),0)),false,true))"),FALSE)</f>
        <v>0</v>
      </c>
      <c r="V85" s="53" t="b">
        <f ca="1">IFERROR(__xludf.DUMMYFUNCTION("if($G85="""",false, if(isna(match(V$2, split($G85:$G383,"", "",False),0)),false,true))"),FALSE)</f>
        <v>0</v>
      </c>
      <c r="W85" s="57" t="b">
        <f ca="1">IFERROR(__xludf.DUMMYFUNCTION("if($G85="""",false, if(isna(match(W$2, split($G85:$G383,"", "",False),0)),false,true))"),FALSE)</f>
        <v>0</v>
      </c>
    </row>
    <row r="86" spans="1:23" ht="98">
      <c r="A86" s="47" t="s">
        <v>331</v>
      </c>
      <c r="B86" s="48" t="s">
        <v>62</v>
      </c>
      <c r="C86" s="49" t="s">
        <v>240</v>
      </c>
      <c r="D86" s="50" t="s">
        <v>311</v>
      </c>
      <c r="E86" s="49" t="s">
        <v>332</v>
      </c>
      <c r="F86" s="51" t="s">
        <v>333</v>
      </c>
      <c r="G86" s="59" t="s">
        <v>116</v>
      </c>
      <c r="H86" s="53" t="b">
        <f ca="1">IFERROR(__xludf.DUMMYFUNCTION("if($G86="""",false, if(isna(match(H$2, split($G86:$G383,"", "",False),0)),false,true))"),FALSE)</f>
        <v>0</v>
      </c>
      <c r="I86" s="53" t="b">
        <f ca="1">IFERROR(__xludf.DUMMYFUNCTION("if($G86="""",false, if(isna(match(I$2, split($G86:$G383,"", "",False),0)),false,true))"),FALSE)</f>
        <v>0</v>
      </c>
      <c r="J86" s="53" t="b">
        <f ca="1">IFERROR(__xludf.DUMMYFUNCTION("if($G86="""",false, if(isna(match(J$2, split($G86:$G383,"", "",False),0)),false,true))"),FALSE)</f>
        <v>0</v>
      </c>
      <c r="K86" s="53" t="b">
        <f ca="1">IFERROR(__xludf.DUMMYFUNCTION("if($G86="""",false, if(isna(match(K$2, split($G86:$G383,"", "",False),0)),false,true))"),FALSE)</f>
        <v>0</v>
      </c>
      <c r="L86" s="53" t="b">
        <f ca="1">IFERROR(__xludf.DUMMYFUNCTION("if($G86="""",false, if(isna(match(L$2, split($G86:$G383,"", "",False),0)),false,true))"),FALSE)</f>
        <v>0</v>
      </c>
      <c r="M86" s="53" t="b">
        <f ca="1">IFERROR(__xludf.DUMMYFUNCTION("if($G86="""",false, if(isna(match(M$2, split($G86:$G383,"", "",False),0)),false,true))"),FALSE)</f>
        <v>0</v>
      </c>
      <c r="N86" s="53" t="b">
        <f ca="1">IFERROR(__xludf.DUMMYFUNCTION("if($G86="""",false, if(isna(match(N$2, split($G86:$G383,"", "",False),0)),false,true))"),FALSE)</f>
        <v>0</v>
      </c>
      <c r="O86" s="53" t="b">
        <f ca="1">IFERROR(__xludf.DUMMYFUNCTION("if($G86="""",false, if(isna(match(O$2, split($G86:$G383,"", "",False),0)),false,true))"),FALSE)</f>
        <v>0</v>
      </c>
      <c r="P86" s="53" t="b">
        <f ca="1">IFERROR(__xludf.DUMMYFUNCTION("if($G86="""",false, if(isna(match(P$2, split($G86:$G383,"", "",False),0)),false,true))"),TRUE)</f>
        <v>1</v>
      </c>
      <c r="Q86" s="53" t="b">
        <f ca="1">IFERROR(__xludf.DUMMYFUNCTION("if($G86="""",false, if(isna(match(Q$2, split($G86:$G383,"", "",False),0)),false,true))"),FALSE)</f>
        <v>0</v>
      </c>
      <c r="R86" s="53" t="b">
        <f ca="1">IFERROR(__xludf.DUMMYFUNCTION("if($G86="""",false, if(isna(match(R$2, split($G86:$G383,"", "",False),0)),false,true))"),FALSE)</f>
        <v>0</v>
      </c>
      <c r="S86" s="53" t="b">
        <f ca="1">IFERROR(__xludf.DUMMYFUNCTION("if($G86="""",false, if(isna(match(S$2, split($G86:$G383,"", "",False),0)),false,true))"),FALSE)</f>
        <v>0</v>
      </c>
      <c r="T86" s="53" t="b">
        <f ca="1">IFERROR(__xludf.DUMMYFUNCTION("if($G86="""",false, if(isna(match(T$2, split($G86:$G383,"", "",False),0)),false,true))"),FALSE)</f>
        <v>0</v>
      </c>
      <c r="U86" s="53" t="b">
        <f ca="1">IFERROR(__xludf.DUMMYFUNCTION("if($G86="""",false, if(isna(match(U$2, split($G86:$G383,"", "",False),0)),false,true))"),FALSE)</f>
        <v>0</v>
      </c>
      <c r="V86" s="53" t="b">
        <f ca="1">IFERROR(__xludf.DUMMYFUNCTION("if($G86="""",false, if(isna(match(V$2, split($G86:$G383,"", "",False),0)),false,true))"),FALSE)</f>
        <v>0</v>
      </c>
      <c r="W86" s="57" t="b">
        <f ca="1">IFERROR(__xludf.DUMMYFUNCTION("if($G86="""",false, if(isna(match(W$2, split($G86:$G383,"", "",False),0)),false,true))"),FALSE)</f>
        <v>0</v>
      </c>
    </row>
    <row r="87" spans="1:23" ht="56">
      <c r="A87" s="47" t="s">
        <v>334</v>
      </c>
      <c r="B87" s="48" t="s">
        <v>62</v>
      </c>
      <c r="C87" s="49" t="s">
        <v>240</v>
      </c>
      <c r="D87" s="50" t="s">
        <v>311</v>
      </c>
      <c r="E87" s="49" t="s">
        <v>332</v>
      </c>
      <c r="F87" s="51" t="s">
        <v>335</v>
      </c>
      <c r="G87" s="59" t="s">
        <v>109</v>
      </c>
      <c r="H87" s="53" t="b">
        <f ca="1">IFERROR(__xludf.DUMMYFUNCTION("if($G87="""",false, if(isna(match(H$2, split($G87:$G383,"", "",False),0)),false,true))"),FALSE)</f>
        <v>0</v>
      </c>
      <c r="I87" s="53" t="b">
        <f ca="1">IFERROR(__xludf.DUMMYFUNCTION("if($G87="""",false, if(isna(match(I$2, split($G87:$G383,"", "",False),0)),false,true))"),TRUE)</f>
        <v>1</v>
      </c>
      <c r="J87" s="53" t="b">
        <f ca="1">IFERROR(__xludf.DUMMYFUNCTION("if($G87="""",false, if(isna(match(J$2, split($G87:$G383,"", "",False),0)),false,true))"),FALSE)</f>
        <v>0</v>
      </c>
      <c r="K87" s="53" t="b">
        <f ca="1">IFERROR(__xludf.DUMMYFUNCTION("if($G87="""",false, if(isna(match(K$2, split($G87:$G383,"", "",False),0)),false,true))"),FALSE)</f>
        <v>0</v>
      </c>
      <c r="L87" s="53" t="b">
        <f ca="1">IFERROR(__xludf.DUMMYFUNCTION("if($G87="""",false, if(isna(match(L$2, split($G87:$G383,"", "",False),0)),false,true))"),FALSE)</f>
        <v>0</v>
      </c>
      <c r="M87" s="53" t="b">
        <f ca="1">IFERROR(__xludf.DUMMYFUNCTION("if($G87="""",false, if(isna(match(M$2, split($G87:$G383,"", "",False),0)),false,true))"),FALSE)</f>
        <v>0</v>
      </c>
      <c r="N87" s="53" t="b">
        <f ca="1">IFERROR(__xludf.DUMMYFUNCTION("if($G87="""",false, if(isna(match(N$2, split($G87:$G383,"", "",False),0)),false,true))"),FALSE)</f>
        <v>0</v>
      </c>
      <c r="O87" s="53" t="b">
        <f ca="1">IFERROR(__xludf.DUMMYFUNCTION("if($G87="""",false, if(isna(match(O$2, split($G87:$G383,"", "",False),0)),false,true))"),FALSE)</f>
        <v>0</v>
      </c>
      <c r="P87" s="53" t="b">
        <f ca="1">IFERROR(__xludf.DUMMYFUNCTION("if($G87="""",false, if(isna(match(P$2, split($G87:$G383,"", "",False),0)),false,true))"),FALSE)</f>
        <v>0</v>
      </c>
      <c r="Q87" s="53" t="b">
        <f ca="1">IFERROR(__xludf.DUMMYFUNCTION("if($G87="""",false, if(isna(match(Q$2, split($G87:$G383,"", "",False),0)),false,true))"),FALSE)</f>
        <v>0</v>
      </c>
      <c r="R87" s="53" t="b">
        <f ca="1">IFERROR(__xludf.DUMMYFUNCTION("if($G87="""",false, if(isna(match(R$2, split($G87:$G383,"", "",False),0)),false,true))"),FALSE)</f>
        <v>0</v>
      </c>
      <c r="S87" s="53" t="b">
        <f ca="1">IFERROR(__xludf.DUMMYFUNCTION("if($G87="""",false, if(isna(match(S$2, split($G87:$G383,"", "",False),0)),false,true))"),FALSE)</f>
        <v>0</v>
      </c>
      <c r="T87" s="53" t="b">
        <f ca="1">IFERROR(__xludf.DUMMYFUNCTION("if($G87="""",false, if(isna(match(T$2, split($G87:$G383,"", "",False),0)),false,true))"),FALSE)</f>
        <v>0</v>
      </c>
      <c r="U87" s="53" t="b">
        <f ca="1">IFERROR(__xludf.DUMMYFUNCTION("if($G87="""",false, if(isna(match(U$2, split($G87:$G383,"", "",False),0)),false,true))"),FALSE)</f>
        <v>0</v>
      </c>
      <c r="V87" s="53" t="b">
        <f ca="1">IFERROR(__xludf.DUMMYFUNCTION("if($G87="""",false, if(isna(match(V$2, split($G87:$G383,"", "",False),0)),false,true))"),FALSE)</f>
        <v>0</v>
      </c>
      <c r="W87" s="57" t="b">
        <f ca="1">IFERROR(__xludf.DUMMYFUNCTION("if($G87="""",false, if(isna(match(W$2, split($G87:$G383,"", "",False),0)),false,true))"),FALSE)</f>
        <v>0</v>
      </c>
    </row>
    <row r="88" spans="1:23" ht="84">
      <c r="A88" s="47" t="s">
        <v>336</v>
      </c>
      <c r="B88" s="48" t="s">
        <v>62</v>
      </c>
      <c r="C88" s="49" t="s">
        <v>240</v>
      </c>
      <c r="D88" s="50" t="s">
        <v>311</v>
      </c>
      <c r="E88" s="49" t="s">
        <v>332</v>
      </c>
      <c r="F88" s="51" t="s">
        <v>337</v>
      </c>
      <c r="G88" s="59" t="s">
        <v>116</v>
      </c>
      <c r="H88" s="53" t="b">
        <f ca="1">IFERROR(__xludf.DUMMYFUNCTION("if($G88="""",false, if(isna(match(H$2, split($G88:$G383,"", "",False),0)),false,true))"),FALSE)</f>
        <v>0</v>
      </c>
      <c r="I88" s="53" t="b">
        <f ca="1">IFERROR(__xludf.DUMMYFUNCTION("if($G88="""",false, if(isna(match(I$2, split($G88:$G383,"", "",False),0)),false,true))"),FALSE)</f>
        <v>0</v>
      </c>
      <c r="J88" s="53" t="b">
        <f ca="1">IFERROR(__xludf.DUMMYFUNCTION("if($G88="""",false, if(isna(match(J$2, split($G88:$G383,"", "",False),0)),false,true))"),FALSE)</f>
        <v>0</v>
      </c>
      <c r="K88" s="53" t="b">
        <f ca="1">IFERROR(__xludf.DUMMYFUNCTION("if($G88="""",false, if(isna(match(K$2, split($G88:$G383,"", "",False),0)),false,true))"),FALSE)</f>
        <v>0</v>
      </c>
      <c r="L88" s="53" t="b">
        <f ca="1">IFERROR(__xludf.DUMMYFUNCTION("if($G88="""",false, if(isna(match(L$2, split($G88:$G383,"", "",False),0)),false,true))"),FALSE)</f>
        <v>0</v>
      </c>
      <c r="M88" s="53" t="b">
        <f ca="1">IFERROR(__xludf.DUMMYFUNCTION("if($G88="""",false, if(isna(match(M$2, split($G88:$G383,"", "",False),0)),false,true))"),FALSE)</f>
        <v>0</v>
      </c>
      <c r="N88" s="53" t="b">
        <f ca="1">IFERROR(__xludf.DUMMYFUNCTION("if($G88="""",false, if(isna(match(N$2, split($G88:$G383,"", "",False),0)),false,true))"),FALSE)</f>
        <v>0</v>
      </c>
      <c r="O88" s="53" t="b">
        <f ca="1">IFERROR(__xludf.DUMMYFUNCTION("if($G88="""",false, if(isna(match(O$2, split($G88:$G383,"", "",False),0)),false,true))"),FALSE)</f>
        <v>0</v>
      </c>
      <c r="P88" s="53" t="b">
        <f ca="1">IFERROR(__xludf.DUMMYFUNCTION("if($G88="""",false, if(isna(match(P$2, split($G88:$G383,"", "",False),0)),false,true))"),TRUE)</f>
        <v>1</v>
      </c>
      <c r="Q88" s="53" t="b">
        <f ca="1">IFERROR(__xludf.DUMMYFUNCTION("if($G88="""",false, if(isna(match(Q$2, split($G88:$G383,"", "",False),0)),false,true))"),FALSE)</f>
        <v>0</v>
      </c>
      <c r="R88" s="53" t="b">
        <f ca="1">IFERROR(__xludf.DUMMYFUNCTION("if($G88="""",false, if(isna(match(R$2, split($G88:$G383,"", "",False),0)),false,true))"),FALSE)</f>
        <v>0</v>
      </c>
      <c r="S88" s="53" t="b">
        <f ca="1">IFERROR(__xludf.DUMMYFUNCTION("if($G88="""",false, if(isna(match(S$2, split($G88:$G383,"", "",False),0)),false,true))"),FALSE)</f>
        <v>0</v>
      </c>
      <c r="T88" s="53" t="b">
        <f ca="1">IFERROR(__xludf.DUMMYFUNCTION("if($G88="""",false, if(isna(match(T$2, split($G88:$G383,"", "",False),0)),false,true))"),FALSE)</f>
        <v>0</v>
      </c>
      <c r="U88" s="53" t="b">
        <f ca="1">IFERROR(__xludf.DUMMYFUNCTION("if($G88="""",false, if(isna(match(U$2, split($G88:$G383,"", "",False),0)),false,true))"),FALSE)</f>
        <v>0</v>
      </c>
      <c r="V88" s="53" t="b">
        <f ca="1">IFERROR(__xludf.DUMMYFUNCTION("if($G88="""",false, if(isna(match(V$2, split($G88:$G383,"", "",False),0)),false,true))"),FALSE)</f>
        <v>0</v>
      </c>
      <c r="W88" s="57" t="b">
        <f ca="1">IFERROR(__xludf.DUMMYFUNCTION("if($G88="""",false, if(isna(match(W$2, split($G88:$G383,"", "",False),0)),false,true))"),FALSE)</f>
        <v>0</v>
      </c>
    </row>
    <row r="89" spans="1:23" ht="56">
      <c r="A89" s="47" t="s">
        <v>338</v>
      </c>
      <c r="B89" s="48" t="s">
        <v>62</v>
      </c>
      <c r="C89" s="49" t="s">
        <v>240</v>
      </c>
      <c r="D89" s="50" t="s">
        <v>311</v>
      </c>
      <c r="E89" s="49" t="s">
        <v>332</v>
      </c>
      <c r="F89" s="51" t="s">
        <v>339</v>
      </c>
      <c r="G89" s="59" t="s">
        <v>116</v>
      </c>
      <c r="H89" s="53" t="b">
        <f ca="1">IFERROR(__xludf.DUMMYFUNCTION("if($G89="""",false, if(isna(match(H$2, split($G89:$G383,"", "",False),0)),false,true))"),FALSE)</f>
        <v>0</v>
      </c>
      <c r="I89" s="53" t="b">
        <f ca="1">IFERROR(__xludf.DUMMYFUNCTION("if($G89="""",false, if(isna(match(I$2, split($G89:$G383,"", "",False),0)),false,true))"),FALSE)</f>
        <v>0</v>
      </c>
      <c r="J89" s="53" t="b">
        <f ca="1">IFERROR(__xludf.DUMMYFUNCTION("if($G89="""",false, if(isna(match(J$2, split($G89:$G383,"", "",False),0)),false,true))"),FALSE)</f>
        <v>0</v>
      </c>
      <c r="K89" s="53" t="b">
        <f ca="1">IFERROR(__xludf.DUMMYFUNCTION("if($G89="""",false, if(isna(match(K$2, split($G89:$G383,"", "",False),0)),false,true))"),FALSE)</f>
        <v>0</v>
      </c>
      <c r="L89" s="53" t="b">
        <f ca="1">IFERROR(__xludf.DUMMYFUNCTION("if($G89="""",false, if(isna(match(L$2, split($G89:$G383,"", "",False),0)),false,true))"),FALSE)</f>
        <v>0</v>
      </c>
      <c r="M89" s="53" t="b">
        <f ca="1">IFERROR(__xludf.DUMMYFUNCTION("if($G89="""",false, if(isna(match(M$2, split($G89:$G383,"", "",False),0)),false,true))"),FALSE)</f>
        <v>0</v>
      </c>
      <c r="N89" s="53" t="b">
        <f ca="1">IFERROR(__xludf.DUMMYFUNCTION("if($G89="""",false, if(isna(match(N$2, split($G89:$G383,"", "",False),0)),false,true))"),FALSE)</f>
        <v>0</v>
      </c>
      <c r="O89" s="53" t="b">
        <f ca="1">IFERROR(__xludf.DUMMYFUNCTION("if($G89="""",false, if(isna(match(O$2, split($G89:$G383,"", "",False),0)),false,true))"),FALSE)</f>
        <v>0</v>
      </c>
      <c r="P89" s="53" t="b">
        <f ca="1">IFERROR(__xludf.DUMMYFUNCTION("if($G89="""",false, if(isna(match(P$2, split($G89:$G383,"", "",False),0)),false,true))"),TRUE)</f>
        <v>1</v>
      </c>
      <c r="Q89" s="53" t="b">
        <f ca="1">IFERROR(__xludf.DUMMYFUNCTION("if($G89="""",false, if(isna(match(Q$2, split($G89:$G383,"", "",False),0)),false,true))"),FALSE)</f>
        <v>0</v>
      </c>
      <c r="R89" s="53" t="b">
        <f ca="1">IFERROR(__xludf.DUMMYFUNCTION("if($G89="""",false, if(isna(match(R$2, split($G89:$G383,"", "",False),0)),false,true))"),FALSE)</f>
        <v>0</v>
      </c>
      <c r="S89" s="53" t="b">
        <f ca="1">IFERROR(__xludf.DUMMYFUNCTION("if($G89="""",false, if(isna(match(S$2, split($G89:$G383,"", "",False),0)),false,true))"),FALSE)</f>
        <v>0</v>
      </c>
      <c r="T89" s="53" t="b">
        <f ca="1">IFERROR(__xludf.DUMMYFUNCTION("if($G89="""",false, if(isna(match(T$2, split($G89:$G383,"", "",False),0)),false,true))"),FALSE)</f>
        <v>0</v>
      </c>
      <c r="U89" s="53" t="b">
        <f ca="1">IFERROR(__xludf.DUMMYFUNCTION("if($G89="""",false, if(isna(match(U$2, split($G89:$G383,"", "",False),0)),false,true))"),FALSE)</f>
        <v>0</v>
      </c>
      <c r="V89" s="53" t="b">
        <f ca="1">IFERROR(__xludf.DUMMYFUNCTION("if($G89="""",false, if(isna(match(V$2, split($G89:$G383,"", "",False),0)),false,true))"),FALSE)</f>
        <v>0</v>
      </c>
      <c r="W89" s="57" t="b">
        <f ca="1">IFERROR(__xludf.DUMMYFUNCTION("if($G89="""",false, if(isna(match(W$2, split($G89:$G383,"", "",False),0)),false,true))"),FALSE)</f>
        <v>0</v>
      </c>
    </row>
    <row r="90" spans="1:23" ht="154">
      <c r="A90" s="47" t="s">
        <v>340</v>
      </c>
      <c r="B90" s="48" t="s">
        <v>62</v>
      </c>
      <c r="C90" s="49" t="s">
        <v>240</v>
      </c>
      <c r="D90" s="50" t="s">
        <v>311</v>
      </c>
      <c r="E90" s="49" t="s">
        <v>332</v>
      </c>
      <c r="F90" s="51" t="s">
        <v>341</v>
      </c>
      <c r="G90" s="59" t="s">
        <v>116</v>
      </c>
      <c r="H90" s="53" t="b">
        <f ca="1">IFERROR(__xludf.DUMMYFUNCTION("if($G90="""",false, if(isna(match(H$2, split($G90:$G383,"", "",False),0)),false,true))"),FALSE)</f>
        <v>0</v>
      </c>
      <c r="I90" s="53" t="b">
        <f ca="1">IFERROR(__xludf.DUMMYFUNCTION("if($G90="""",false, if(isna(match(I$2, split($G90:$G383,"", "",False),0)),false,true))"),FALSE)</f>
        <v>0</v>
      </c>
      <c r="J90" s="53" t="b">
        <f ca="1">IFERROR(__xludf.DUMMYFUNCTION("if($G90="""",false, if(isna(match(J$2, split($G90:$G383,"", "",False),0)),false,true))"),FALSE)</f>
        <v>0</v>
      </c>
      <c r="K90" s="53" t="b">
        <f ca="1">IFERROR(__xludf.DUMMYFUNCTION("if($G90="""",false, if(isna(match(K$2, split($G90:$G383,"", "",False),0)),false,true))"),FALSE)</f>
        <v>0</v>
      </c>
      <c r="L90" s="53" t="b">
        <f ca="1">IFERROR(__xludf.DUMMYFUNCTION("if($G90="""",false, if(isna(match(L$2, split($G90:$G383,"", "",False),0)),false,true))"),FALSE)</f>
        <v>0</v>
      </c>
      <c r="M90" s="53" t="b">
        <f ca="1">IFERROR(__xludf.DUMMYFUNCTION("if($G90="""",false, if(isna(match(M$2, split($G90:$G383,"", "",False),0)),false,true))"),FALSE)</f>
        <v>0</v>
      </c>
      <c r="N90" s="53" t="b">
        <f ca="1">IFERROR(__xludf.DUMMYFUNCTION("if($G90="""",false, if(isna(match(N$2, split($G90:$G383,"", "",False),0)),false,true))"),FALSE)</f>
        <v>0</v>
      </c>
      <c r="O90" s="53" t="b">
        <f ca="1">IFERROR(__xludf.DUMMYFUNCTION("if($G90="""",false, if(isna(match(O$2, split($G90:$G383,"", "",False),0)),false,true))"),FALSE)</f>
        <v>0</v>
      </c>
      <c r="P90" s="53" t="b">
        <f ca="1">IFERROR(__xludf.DUMMYFUNCTION("if($G90="""",false, if(isna(match(P$2, split($G90:$G383,"", "",False),0)),false,true))"),TRUE)</f>
        <v>1</v>
      </c>
      <c r="Q90" s="53" t="b">
        <f ca="1">IFERROR(__xludf.DUMMYFUNCTION("if($G90="""",false, if(isna(match(Q$2, split($G90:$G383,"", "",False),0)),false,true))"),FALSE)</f>
        <v>0</v>
      </c>
      <c r="R90" s="53" t="b">
        <f ca="1">IFERROR(__xludf.DUMMYFUNCTION("if($G90="""",false, if(isna(match(R$2, split($G90:$G383,"", "",False),0)),false,true))"),FALSE)</f>
        <v>0</v>
      </c>
      <c r="S90" s="53" t="b">
        <f ca="1">IFERROR(__xludf.DUMMYFUNCTION("if($G90="""",false, if(isna(match(S$2, split($G90:$G383,"", "",False),0)),false,true))"),FALSE)</f>
        <v>0</v>
      </c>
      <c r="T90" s="53" t="b">
        <f ca="1">IFERROR(__xludf.DUMMYFUNCTION("if($G90="""",false, if(isna(match(T$2, split($G90:$G383,"", "",False),0)),false,true))"),FALSE)</f>
        <v>0</v>
      </c>
      <c r="U90" s="53" t="b">
        <f ca="1">IFERROR(__xludf.DUMMYFUNCTION("if($G90="""",false, if(isna(match(U$2, split($G90:$G383,"", "",False),0)),false,true))"),FALSE)</f>
        <v>0</v>
      </c>
      <c r="V90" s="53" t="b">
        <f ca="1">IFERROR(__xludf.DUMMYFUNCTION("if($G90="""",false, if(isna(match(V$2, split($G90:$G383,"", "",False),0)),false,true))"),FALSE)</f>
        <v>0</v>
      </c>
      <c r="W90" s="57" t="b">
        <f ca="1">IFERROR(__xludf.DUMMYFUNCTION("if($G90="""",false, if(isna(match(W$2, split($G90:$G383,"", "",False),0)),false,true))"),FALSE)</f>
        <v>0</v>
      </c>
    </row>
    <row r="91" spans="1:23" ht="112">
      <c r="A91" s="47" t="s">
        <v>342</v>
      </c>
      <c r="B91" s="48" t="s">
        <v>62</v>
      </c>
      <c r="C91" s="49" t="s">
        <v>240</v>
      </c>
      <c r="D91" s="50" t="s">
        <v>311</v>
      </c>
      <c r="E91" s="49" t="s">
        <v>71</v>
      </c>
      <c r="F91" s="51" t="s">
        <v>343</v>
      </c>
      <c r="G91" s="59" t="s">
        <v>109</v>
      </c>
      <c r="H91" s="53" t="b">
        <f ca="1">IFERROR(__xludf.DUMMYFUNCTION("if($G91="""",false, if(isna(match(H$2, split($G91:$G383,"", "",False),0)),false,true))"),FALSE)</f>
        <v>0</v>
      </c>
      <c r="I91" s="53" t="b">
        <f ca="1">IFERROR(__xludf.DUMMYFUNCTION("if($G91="""",false, if(isna(match(I$2, split($G91:$G383,"", "",False),0)),false,true))"),TRUE)</f>
        <v>1</v>
      </c>
      <c r="J91" s="53" t="b">
        <f ca="1">IFERROR(__xludf.DUMMYFUNCTION("if($G91="""",false, if(isna(match(J$2, split($G91:$G383,"", "",False),0)),false,true))"),FALSE)</f>
        <v>0</v>
      </c>
      <c r="K91" s="53" t="b">
        <f ca="1">IFERROR(__xludf.DUMMYFUNCTION("if($G91="""",false, if(isna(match(K$2, split($G91:$G383,"", "",False),0)),false,true))"),FALSE)</f>
        <v>0</v>
      </c>
      <c r="L91" s="53" t="b">
        <f ca="1">IFERROR(__xludf.DUMMYFUNCTION("if($G91="""",false, if(isna(match(L$2, split($G91:$G383,"", "",False),0)),false,true))"),FALSE)</f>
        <v>0</v>
      </c>
      <c r="M91" s="53" t="b">
        <f ca="1">IFERROR(__xludf.DUMMYFUNCTION("if($G91="""",false, if(isna(match(M$2, split($G91:$G383,"", "",False),0)),false,true))"),FALSE)</f>
        <v>0</v>
      </c>
      <c r="N91" s="53" t="b">
        <f ca="1">IFERROR(__xludf.DUMMYFUNCTION("if($G91="""",false, if(isna(match(N$2, split($G91:$G383,"", "",False),0)),false,true))"),FALSE)</f>
        <v>0</v>
      </c>
      <c r="O91" s="53" t="b">
        <f ca="1">IFERROR(__xludf.DUMMYFUNCTION("if($G91="""",false, if(isna(match(O$2, split($G91:$G383,"", "",False),0)),false,true))"),FALSE)</f>
        <v>0</v>
      </c>
      <c r="P91" s="53" t="b">
        <f ca="1">IFERROR(__xludf.DUMMYFUNCTION("if($G91="""",false, if(isna(match(P$2, split($G91:$G383,"", "",False),0)),false,true))"),FALSE)</f>
        <v>0</v>
      </c>
      <c r="Q91" s="53" t="b">
        <f ca="1">IFERROR(__xludf.DUMMYFUNCTION("if($G91="""",false, if(isna(match(Q$2, split($G91:$G383,"", "",False),0)),false,true))"),FALSE)</f>
        <v>0</v>
      </c>
      <c r="R91" s="53" t="b">
        <f ca="1">IFERROR(__xludf.DUMMYFUNCTION("if($G91="""",false, if(isna(match(R$2, split($G91:$G383,"", "",False),0)),false,true))"),FALSE)</f>
        <v>0</v>
      </c>
      <c r="S91" s="53" t="b">
        <f ca="1">IFERROR(__xludf.DUMMYFUNCTION("if($G91="""",false, if(isna(match(S$2, split($G91:$G383,"", "",False),0)),false,true))"),FALSE)</f>
        <v>0</v>
      </c>
      <c r="T91" s="53" t="b">
        <f ca="1">IFERROR(__xludf.DUMMYFUNCTION("if($G91="""",false, if(isna(match(T$2, split($G91:$G383,"", "",False),0)),false,true))"),FALSE)</f>
        <v>0</v>
      </c>
      <c r="U91" s="53" t="b">
        <f ca="1">IFERROR(__xludf.DUMMYFUNCTION("if($G91="""",false, if(isna(match(U$2, split($G91:$G383,"", "",False),0)),false,true))"),FALSE)</f>
        <v>0</v>
      </c>
      <c r="V91" s="53" t="b">
        <f ca="1">IFERROR(__xludf.DUMMYFUNCTION("if($G91="""",false, if(isna(match(V$2, split($G91:$G383,"", "",False),0)),false,true))"),FALSE)</f>
        <v>0</v>
      </c>
      <c r="W91" s="57" t="b">
        <f ca="1">IFERROR(__xludf.DUMMYFUNCTION("if($G91="""",false, if(isna(match(W$2, split($G91:$G383,"", "",False),0)),false,true))"),FALSE)</f>
        <v>0</v>
      </c>
    </row>
    <row r="92" spans="1:23" ht="70">
      <c r="A92" s="47" t="s">
        <v>344</v>
      </c>
      <c r="B92" s="48" t="s">
        <v>62</v>
      </c>
      <c r="C92" s="49" t="s">
        <v>240</v>
      </c>
      <c r="D92" s="50" t="s">
        <v>311</v>
      </c>
      <c r="E92" s="49" t="s">
        <v>71</v>
      </c>
      <c r="F92" s="51" t="s">
        <v>345</v>
      </c>
      <c r="G92" s="59" t="s">
        <v>109</v>
      </c>
      <c r="H92" s="53" t="b">
        <f ca="1">IFERROR(__xludf.DUMMYFUNCTION("if($G92="""",false, if(isna(match(H$2, split($G92:$G383,"", "",False),0)),false,true))"),FALSE)</f>
        <v>0</v>
      </c>
      <c r="I92" s="53" t="b">
        <f ca="1">IFERROR(__xludf.DUMMYFUNCTION("if($G92="""",false, if(isna(match(I$2, split($G92:$G383,"", "",False),0)),false,true))"),TRUE)</f>
        <v>1</v>
      </c>
      <c r="J92" s="53" t="b">
        <f ca="1">IFERROR(__xludf.DUMMYFUNCTION("if($G92="""",false, if(isna(match(J$2, split($G92:$G383,"", "",False),0)),false,true))"),FALSE)</f>
        <v>0</v>
      </c>
      <c r="K92" s="53" t="b">
        <f ca="1">IFERROR(__xludf.DUMMYFUNCTION("if($G92="""",false, if(isna(match(K$2, split($G92:$G383,"", "",False),0)),false,true))"),FALSE)</f>
        <v>0</v>
      </c>
      <c r="L92" s="53" t="b">
        <f ca="1">IFERROR(__xludf.DUMMYFUNCTION("if($G92="""",false, if(isna(match(L$2, split($G92:$G383,"", "",False),0)),false,true))"),FALSE)</f>
        <v>0</v>
      </c>
      <c r="M92" s="53" t="b">
        <f ca="1">IFERROR(__xludf.DUMMYFUNCTION("if($G92="""",false, if(isna(match(M$2, split($G92:$G383,"", "",False),0)),false,true))"),FALSE)</f>
        <v>0</v>
      </c>
      <c r="N92" s="53" t="b">
        <f ca="1">IFERROR(__xludf.DUMMYFUNCTION("if($G92="""",false, if(isna(match(N$2, split($G92:$G383,"", "",False),0)),false,true))"),FALSE)</f>
        <v>0</v>
      </c>
      <c r="O92" s="53" t="b">
        <f ca="1">IFERROR(__xludf.DUMMYFUNCTION("if($G92="""",false, if(isna(match(O$2, split($G92:$G383,"", "",False),0)),false,true))"),FALSE)</f>
        <v>0</v>
      </c>
      <c r="P92" s="53" t="b">
        <f ca="1">IFERROR(__xludf.DUMMYFUNCTION("if($G92="""",false, if(isna(match(P$2, split($G92:$G383,"", "",False),0)),false,true))"),FALSE)</f>
        <v>0</v>
      </c>
      <c r="Q92" s="53" t="b">
        <f ca="1">IFERROR(__xludf.DUMMYFUNCTION("if($G92="""",false, if(isna(match(Q$2, split($G92:$G383,"", "",False),0)),false,true))"),FALSE)</f>
        <v>0</v>
      </c>
      <c r="R92" s="53" t="b">
        <f ca="1">IFERROR(__xludf.DUMMYFUNCTION("if($G92="""",false, if(isna(match(R$2, split($G92:$G383,"", "",False),0)),false,true))"),FALSE)</f>
        <v>0</v>
      </c>
      <c r="S92" s="53" t="b">
        <f ca="1">IFERROR(__xludf.DUMMYFUNCTION("if($G92="""",false, if(isna(match(S$2, split($G92:$G383,"", "",False),0)),false,true))"),FALSE)</f>
        <v>0</v>
      </c>
      <c r="T92" s="53" t="b">
        <f ca="1">IFERROR(__xludf.DUMMYFUNCTION("if($G92="""",false, if(isna(match(T$2, split($G92:$G383,"", "",False),0)),false,true))"),FALSE)</f>
        <v>0</v>
      </c>
      <c r="U92" s="53" t="b">
        <f ca="1">IFERROR(__xludf.DUMMYFUNCTION("if($G92="""",false, if(isna(match(U$2, split($G92:$G383,"", "",False),0)),false,true))"),FALSE)</f>
        <v>0</v>
      </c>
      <c r="V92" s="53" t="b">
        <f ca="1">IFERROR(__xludf.DUMMYFUNCTION("if($G92="""",false, if(isna(match(V$2, split($G92:$G383,"", "",False),0)),false,true))"),FALSE)</f>
        <v>0</v>
      </c>
      <c r="W92" s="57" t="b">
        <f ca="1">IFERROR(__xludf.DUMMYFUNCTION("if($G92="""",false, if(isna(match(W$2, split($G92:$G383,"", "",False),0)),false,true))"),FALSE)</f>
        <v>0</v>
      </c>
    </row>
    <row r="93" spans="1:23" ht="28">
      <c r="A93" s="47" t="s">
        <v>346</v>
      </c>
      <c r="B93" s="48" t="s">
        <v>62</v>
      </c>
      <c r="C93" s="49" t="s">
        <v>240</v>
      </c>
      <c r="D93" s="50" t="s">
        <v>311</v>
      </c>
      <c r="E93" s="49" t="s">
        <v>71</v>
      </c>
      <c r="F93" s="51" t="s">
        <v>347</v>
      </c>
      <c r="G93" s="59" t="s">
        <v>109</v>
      </c>
      <c r="H93" s="53" t="b">
        <f ca="1">IFERROR(__xludf.DUMMYFUNCTION("if($G93="""",false, if(isna(match(H$2, split($G93:$G383,"", "",False),0)),false,true))"),FALSE)</f>
        <v>0</v>
      </c>
      <c r="I93" s="53" t="b">
        <f ca="1">IFERROR(__xludf.DUMMYFUNCTION("if($G93="""",false, if(isna(match(I$2, split($G93:$G383,"", "",False),0)),false,true))"),TRUE)</f>
        <v>1</v>
      </c>
      <c r="J93" s="53" t="b">
        <f ca="1">IFERROR(__xludf.DUMMYFUNCTION("if($G93="""",false, if(isna(match(J$2, split($G93:$G383,"", "",False),0)),false,true))"),FALSE)</f>
        <v>0</v>
      </c>
      <c r="K93" s="53" t="b">
        <f ca="1">IFERROR(__xludf.DUMMYFUNCTION("if($G93="""",false, if(isna(match(K$2, split($G93:$G383,"", "",False),0)),false,true))"),FALSE)</f>
        <v>0</v>
      </c>
      <c r="L93" s="53" t="b">
        <f ca="1">IFERROR(__xludf.DUMMYFUNCTION("if($G93="""",false, if(isna(match(L$2, split($G93:$G383,"", "",False),0)),false,true))"),FALSE)</f>
        <v>0</v>
      </c>
      <c r="M93" s="53" t="b">
        <f ca="1">IFERROR(__xludf.DUMMYFUNCTION("if($G93="""",false, if(isna(match(M$2, split($G93:$G383,"", "",False),0)),false,true))"),FALSE)</f>
        <v>0</v>
      </c>
      <c r="N93" s="53" t="b">
        <f ca="1">IFERROR(__xludf.DUMMYFUNCTION("if($G93="""",false, if(isna(match(N$2, split($G93:$G383,"", "",False),0)),false,true))"),FALSE)</f>
        <v>0</v>
      </c>
      <c r="O93" s="53" t="b">
        <f ca="1">IFERROR(__xludf.DUMMYFUNCTION("if($G93="""",false, if(isna(match(O$2, split($G93:$G383,"", "",False),0)),false,true))"),FALSE)</f>
        <v>0</v>
      </c>
      <c r="P93" s="53" t="b">
        <f ca="1">IFERROR(__xludf.DUMMYFUNCTION("if($G93="""",false, if(isna(match(P$2, split($G93:$G383,"", "",False),0)),false,true))"),FALSE)</f>
        <v>0</v>
      </c>
      <c r="Q93" s="53" t="b">
        <f ca="1">IFERROR(__xludf.DUMMYFUNCTION("if($G93="""",false, if(isna(match(Q$2, split($G93:$G383,"", "",False),0)),false,true))"),FALSE)</f>
        <v>0</v>
      </c>
      <c r="R93" s="53" t="b">
        <f ca="1">IFERROR(__xludf.DUMMYFUNCTION("if($G93="""",false, if(isna(match(R$2, split($G93:$G383,"", "",False),0)),false,true))"),FALSE)</f>
        <v>0</v>
      </c>
      <c r="S93" s="53" t="b">
        <f ca="1">IFERROR(__xludf.DUMMYFUNCTION("if($G93="""",false, if(isna(match(S$2, split($G93:$G383,"", "",False),0)),false,true))"),FALSE)</f>
        <v>0</v>
      </c>
      <c r="T93" s="53" t="b">
        <f ca="1">IFERROR(__xludf.DUMMYFUNCTION("if($G93="""",false, if(isna(match(T$2, split($G93:$G383,"", "",False),0)),false,true))"),FALSE)</f>
        <v>0</v>
      </c>
      <c r="U93" s="53" t="b">
        <f ca="1">IFERROR(__xludf.DUMMYFUNCTION("if($G93="""",false, if(isna(match(U$2, split($G93:$G383,"", "",False),0)),false,true))"),FALSE)</f>
        <v>0</v>
      </c>
      <c r="V93" s="53" t="b">
        <f ca="1">IFERROR(__xludf.DUMMYFUNCTION("if($G93="""",false, if(isna(match(V$2, split($G93:$G383,"", "",False),0)),false,true))"),FALSE)</f>
        <v>0</v>
      </c>
      <c r="W93" s="57" t="b">
        <f ca="1">IFERROR(__xludf.DUMMYFUNCTION("if($G93="""",false, if(isna(match(W$2, split($G93:$G383,"", "",False),0)),false,true))"),FALSE)</f>
        <v>0</v>
      </c>
    </row>
    <row r="94" spans="1:23" ht="112">
      <c r="A94" s="47" t="s">
        <v>348</v>
      </c>
      <c r="B94" s="48" t="s">
        <v>62</v>
      </c>
      <c r="C94" s="49" t="s">
        <v>240</v>
      </c>
      <c r="D94" s="50" t="s">
        <v>311</v>
      </c>
      <c r="E94" s="49" t="s">
        <v>71</v>
      </c>
      <c r="F94" s="51" t="s">
        <v>349</v>
      </c>
      <c r="G94" s="59" t="s">
        <v>109</v>
      </c>
      <c r="H94" s="53" t="b">
        <f ca="1">IFERROR(__xludf.DUMMYFUNCTION("if($G94="""",false, if(isna(match(H$2, split($G94:$G383,"", "",False),0)),false,true))"),FALSE)</f>
        <v>0</v>
      </c>
      <c r="I94" s="53" t="b">
        <f ca="1">IFERROR(__xludf.DUMMYFUNCTION("if($G94="""",false, if(isna(match(I$2, split($G94:$G383,"", "",False),0)),false,true))"),TRUE)</f>
        <v>1</v>
      </c>
      <c r="J94" s="53" t="b">
        <f ca="1">IFERROR(__xludf.DUMMYFUNCTION("if($G94="""",false, if(isna(match(J$2, split($G94:$G383,"", "",False),0)),false,true))"),FALSE)</f>
        <v>0</v>
      </c>
      <c r="K94" s="53" t="b">
        <f ca="1">IFERROR(__xludf.DUMMYFUNCTION("if($G94="""",false, if(isna(match(K$2, split($G94:$G383,"", "",False),0)),false,true))"),FALSE)</f>
        <v>0</v>
      </c>
      <c r="L94" s="53" t="b">
        <f ca="1">IFERROR(__xludf.DUMMYFUNCTION("if($G94="""",false, if(isna(match(L$2, split($G94:$G383,"", "",False),0)),false,true))"),FALSE)</f>
        <v>0</v>
      </c>
      <c r="M94" s="53" t="b">
        <f ca="1">IFERROR(__xludf.DUMMYFUNCTION("if($G94="""",false, if(isna(match(M$2, split($G94:$G383,"", "",False),0)),false,true))"),FALSE)</f>
        <v>0</v>
      </c>
      <c r="N94" s="53" t="b">
        <f ca="1">IFERROR(__xludf.DUMMYFUNCTION("if($G94="""",false, if(isna(match(N$2, split($G94:$G383,"", "",False),0)),false,true))"),FALSE)</f>
        <v>0</v>
      </c>
      <c r="O94" s="53" t="b">
        <f ca="1">IFERROR(__xludf.DUMMYFUNCTION("if($G94="""",false, if(isna(match(O$2, split($G94:$G383,"", "",False),0)),false,true))"),FALSE)</f>
        <v>0</v>
      </c>
      <c r="P94" s="53" t="b">
        <f ca="1">IFERROR(__xludf.DUMMYFUNCTION("if($G94="""",false, if(isna(match(P$2, split($G94:$G383,"", "",False),0)),false,true))"),FALSE)</f>
        <v>0</v>
      </c>
      <c r="Q94" s="53" t="b">
        <f ca="1">IFERROR(__xludf.DUMMYFUNCTION("if($G94="""",false, if(isna(match(Q$2, split($G94:$G383,"", "",False),0)),false,true))"),FALSE)</f>
        <v>0</v>
      </c>
      <c r="R94" s="53" t="b">
        <f ca="1">IFERROR(__xludf.DUMMYFUNCTION("if($G94="""",false, if(isna(match(R$2, split($G94:$G383,"", "",False),0)),false,true))"),FALSE)</f>
        <v>0</v>
      </c>
      <c r="S94" s="53" t="b">
        <f ca="1">IFERROR(__xludf.DUMMYFUNCTION("if($G94="""",false, if(isna(match(S$2, split($G94:$G383,"", "",False),0)),false,true))"),FALSE)</f>
        <v>0</v>
      </c>
      <c r="T94" s="53" t="b">
        <f ca="1">IFERROR(__xludf.DUMMYFUNCTION("if($G94="""",false, if(isna(match(T$2, split($G94:$G383,"", "",False),0)),false,true))"),FALSE)</f>
        <v>0</v>
      </c>
      <c r="U94" s="53" t="b">
        <f ca="1">IFERROR(__xludf.DUMMYFUNCTION("if($G94="""",false, if(isna(match(U$2, split($G94:$G383,"", "",False),0)),false,true))"),FALSE)</f>
        <v>0</v>
      </c>
      <c r="V94" s="53" t="b">
        <f ca="1">IFERROR(__xludf.DUMMYFUNCTION("if($G94="""",false, if(isna(match(V$2, split($G94:$G383,"", "",False),0)),false,true))"),FALSE)</f>
        <v>0</v>
      </c>
      <c r="W94" s="57" t="b">
        <f ca="1">IFERROR(__xludf.DUMMYFUNCTION("if($G94="""",false, if(isna(match(W$2, split($G94:$G383,"", "",False),0)),false,true))"),FALSE)</f>
        <v>0</v>
      </c>
    </row>
    <row r="95" spans="1:23" ht="70">
      <c r="A95" s="47" t="s">
        <v>350</v>
      </c>
      <c r="B95" s="48" t="s">
        <v>62</v>
      </c>
      <c r="C95" s="49" t="s">
        <v>240</v>
      </c>
      <c r="D95" s="50" t="s">
        <v>311</v>
      </c>
      <c r="E95" s="49" t="s">
        <v>71</v>
      </c>
      <c r="F95" s="51" t="s">
        <v>351</v>
      </c>
      <c r="G95" s="59" t="s">
        <v>109</v>
      </c>
      <c r="H95" s="53" t="b">
        <f ca="1">IFERROR(__xludf.DUMMYFUNCTION("if($G95="""",false, if(isna(match(H$2, split($G95:$G383,"", "",False),0)),false,true))"),FALSE)</f>
        <v>0</v>
      </c>
      <c r="I95" s="53" t="b">
        <f ca="1">IFERROR(__xludf.DUMMYFUNCTION("if($G95="""",false, if(isna(match(I$2, split($G95:$G383,"", "",False),0)),false,true))"),TRUE)</f>
        <v>1</v>
      </c>
      <c r="J95" s="53" t="b">
        <f ca="1">IFERROR(__xludf.DUMMYFUNCTION("if($G95="""",false, if(isna(match(J$2, split($G95:$G383,"", "",False),0)),false,true))"),FALSE)</f>
        <v>0</v>
      </c>
      <c r="K95" s="53" t="b">
        <f ca="1">IFERROR(__xludf.DUMMYFUNCTION("if($G95="""",false, if(isna(match(K$2, split($G95:$G383,"", "",False),0)),false,true))"),FALSE)</f>
        <v>0</v>
      </c>
      <c r="L95" s="53" t="b">
        <f ca="1">IFERROR(__xludf.DUMMYFUNCTION("if($G95="""",false, if(isna(match(L$2, split($G95:$G383,"", "",False),0)),false,true))"),FALSE)</f>
        <v>0</v>
      </c>
      <c r="M95" s="53" t="b">
        <f ca="1">IFERROR(__xludf.DUMMYFUNCTION("if($G95="""",false, if(isna(match(M$2, split($G95:$G383,"", "",False),0)),false,true))"),FALSE)</f>
        <v>0</v>
      </c>
      <c r="N95" s="53" t="b">
        <f ca="1">IFERROR(__xludf.DUMMYFUNCTION("if($G95="""",false, if(isna(match(N$2, split($G95:$G383,"", "",False),0)),false,true))"),FALSE)</f>
        <v>0</v>
      </c>
      <c r="O95" s="53" t="b">
        <f ca="1">IFERROR(__xludf.DUMMYFUNCTION("if($G95="""",false, if(isna(match(O$2, split($G95:$G383,"", "",False),0)),false,true))"),FALSE)</f>
        <v>0</v>
      </c>
      <c r="P95" s="53" t="b">
        <f ca="1">IFERROR(__xludf.DUMMYFUNCTION("if($G95="""",false, if(isna(match(P$2, split($G95:$G383,"", "",False),0)),false,true))"),FALSE)</f>
        <v>0</v>
      </c>
      <c r="Q95" s="53" t="b">
        <f ca="1">IFERROR(__xludf.DUMMYFUNCTION("if($G95="""",false, if(isna(match(Q$2, split($G95:$G383,"", "",False),0)),false,true))"),FALSE)</f>
        <v>0</v>
      </c>
      <c r="R95" s="53" t="b">
        <f ca="1">IFERROR(__xludf.DUMMYFUNCTION("if($G95="""",false, if(isna(match(R$2, split($G95:$G383,"", "",False),0)),false,true))"),FALSE)</f>
        <v>0</v>
      </c>
      <c r="S95" s="53" t="b">
        <f ca="1">IFERROR(__xludf.DUMMYFUNCTION("if($G95="""",false, if(isna(match(S$2, split($G95:$G383,"", "",False),0)),false,true))"),FALSE)</f>
        <v>0</v>
      </c>
      <c r="T95" s="53" t="b">
        <f ca="1">IFERROR(__xludf.DUMMYFUNCTION("if($G95="""",false, if(isna(match(T$2, split($G95:$G383,"", "",False),0)),false,true))"),FALSE)</f>
        <v>0</v>
      </c>
      <c r="U95" s="53" t="b">
        <f ca="1">IFERROR(__xludf.DUMMYFUNCTION("if($G95="""",false, if(isna(match(U$2, split($G95:$G383,"", "",False),0)),false,true))"),FALSE)</f>
        <v>0</v>
      </c>
      <c r="V95" s="53" t="b">
        <f ca="1">IFERROR(__xludf.DUMMYFUNCTION("if($G95="""",false, if(isna(match(V$2, split($G95:$G383,"", "",False),0)),false,true))"),FALSE)</f>
        <v>0</v>
      </c>
      <c r="W95" s="57" t="b">
        <f ca="1">IFERROR(__xludf.DUMMYFUNCTION("if($G95="""",false, if(isna(match(W$2, split($G95:$G383,"", "",False),0)),false,true))"),FALSE)</f>
        <v>0</v>
      </c>
    </row>
    <row r="96" spans="1:23" ht="28">
      <c r="A96" s="47" t="s">
        <v>352</v>
      </c>
      <c r="B96" s="48" t="s">
        <v>62</v>
      </c>
      <c r="C96" s="49" t="s">
        <v>240</v>
      </c>
      <c r="D96" s="50" t="s">
        <v>311</v>
      </c>
      <c r="E96" s="49" t="s">
        <v>71</v>
      </c>
      <c r="F96" s="51" t="s">
        <v>353</v>
      </c>
      <c r="G96" s="59" t="s">
        <v>109</v>
      </c>
      <c r="H96" s="53" t="b">
        <f ca="1">IFERROR(__xludf.DUMMYFUNCTION("if($G96="""",false, if(isna(match(H$2, split($G96:$G383,"", "",False),0)),false,true))"),FALSE)</f>
        <v>0</v>
      </c>
      <c r="I96" s="53" t="b">
        <f ca="1">IFERROR(__xludf.DUMMYFUNCTION("if($G96="""",false, if(isna(match(I$2, split($G96:$G383,"", "",False),0)),false,true))"),TRUE)</f>
        <v>1</v>
      </c>
      <c r="J96" s="53" t="b">
        <f ca="1">IFERROR(__xludf.DUMMYFUNCTION("if($G96="""",false, if(isna(match(J$2, split($G96:$G383,"", "",False),0)),false,true))"),FALSE)</f>
        <v>0</v>
      </c>
      <c r="K96" s="53" t="b">
        <f ca="1">IFERROR(__xludf.DUMMYFUNCTION("if($G96="""",false, if(isna(match(K$2, split($G96:$G383,"", "",False),0)),false,true))"),FALSE)</f>
        <v>0</v>
      </c>
      <c r="L96" s="53" t="b">
        <f ca="1">IFERROR(__xludf.DUMMYFUNCTION("if($G96="""",false, if(isna(match(L$2, split($G96:$G383,"", "",False),0)),false,true))"),FALSE)</f>
        <v>0</v>
      </c>
      <c r="M96" s="53" t="b">
        <f ca="1">IFERROR(__xludf.DUMMYFUNCTION("if($G96="""",false, if(isna(match(M$2, split($G96:$G383,"", "",False),0)),false,true))"),FALSE)</f>
        <v>0</v>
      </c>
      <c r="N96" s="53" t="b">
        <f ca="1">IFERROR(__xludf.DUMMYFUNCTION("if($G96="""",false, if(isna(match(N$2, split($G96:$G383,"", "",False),0)),false,true))"),FALSE)</f>
        <v>0</v>
      </c>
      <c r="O96" s="53" t="b">
        <f ca="1">IFERROR(__xludf.DUMMYFUNCTION("if($G96="""",false, if(isna(match(O$2, split($G96:$G383,"", "",False),0)),false,true))"),FALSE)</f>
        <v>0</v>
      </c>
      <c r="P96" s="53" t="b">
        <f ca="1">IFERROR(__xludf.DUMMYFUNCTION("if($G96="""",false, if(isna(match(P$2, split($G96:$G383,"", "",False),0)),false,true))"),FALSE)</f>
        <v>0</v>
      </c>
      <c r="Q96" s="53" t="b">
        <f ca="1">IFERROR(__xludf.DUMMYFUNCTION("if($G96="""",false, if(isna(match(Q$2, split($G96:$G383,"", "",False),0)),false,true))"),FALSE)</f>
        <v>0</v>
      </c>
      <c r="R96" s="53" t="b">
        <f ca="1">IFERROR(__xludf.DUMMYFUNCTION("if($G96="""",false, if(isna(match(R$2, split($G96:$G383,"", "",False),0)),false,true))"),FALSE)</f>
        <v>0</v>
      </c>
      <c r="S96" s="53" t="b">
        <f ca="1">IFERROR(__xludf.DUMMYFUNCTION("if($G96="""",false, if(isna(match(S$2, split($G96:$G383,"", "",False),0)),false,true))"),FALSE)</f>
        <v>0</v>
      </c>
      <c r="T96" s="53" t="b">
        <f ca="1">IFERROR(__xludf.DUMMYFUNCTION("if($G96="""",false, if(isna(match(T$2, split($G96:$G383,"", "",False),0)),false,true))"),FALSE)</f>
        <v>0</v>
      </c>
      <c r="U96" s="53" t="b">
        <f ca="1">IFERROR(__xludf.DUMMYFUNCTION("if($G96="""",false, if(isna(match(U$2, split($G96:$G383,"", "",False),0)),false,true))"),FALSE)</f>
        <v>0</v>
      </c>
      <c r="V96" s="53" t="b">
        <f ca="1">IFERROR(__xludf.DUMMYFUNCTION("if($G96="""",false, if(isna(match(V$2, split($G96:$G383,"", "",False),0)),false,true))"),FALSE)</f>
        <v>0</v>
      </c>
      <c r="W96" s="57" t="b">
        <f ca="1">IFERROR(__xludf.DUMMYFUNCTION("if($G96="""",false, if(isna(match(W$2, split($G96:$G383,"", "",False),0)),false,true))"),FALSE)</f>
        <v>0</v>
      </c>
    </row>
    <row r="97" spans="1:23" ht="112">
      <c r="A97" s="47" t="s">
        <v>354</v>
      </c>
      <c r="B97" s="48" t="s">
        <v>62</v>
      </c>
      <c r="C97" s="49" t="s">
        <v>240</v>
      </c>
      <c r="D97" s="50" t="s">
        <v>311</v>
      </c>
      <c r="E97" s="49" t="s">
        <v>71</v>
      </c>
      <c r="F97" s="51" t="s">
        <v>355</v>
      </c>
      <c r="G97" s="59" t="s">
        <v>109</v>
      </c>
      <c r="H97" s="53" t="b">
        <f ca="1">IFERROR(__xludf.DUMMYFUNCTION("if($G97="""",false, if(isna(match(H$2, split($G97:$G383,"", "",False),0)),false,true))"),FALSE)</f>
        <v>0</v>
      </c>
      <c r="I97" s="53" t="b">
        <f ca="1">IFERROR(__xludf.DUMMYFUNCTION("if($G97="""",false, if(isna(match(I$2, split($G97:$G383,"", "",False),0)),false,true))"),TRUE)</f>
        <v>1</v>
      </c>
      <c r="J97" s="53" t="b">
        <f ca="1">IFERROR(__xludf.DUMMYFUNCTION("if($G97="""",false, if(isna(match(J$2, split($G97:$G383,"", "",False),0)),false,true))"),FALSE)</f>
        <v>0</v>
      </c>
      <c r="K97" s="53" t="b">
        <f ca="1">IFERROR(__xludf.DUMMYFUNCTION("if($G97="""",false, if(isna(match(K$2, split($G97:$G383,"", "",False),0)),false,true))"),FALSE)</f>
        <v>0</v>
      </c>
      <c r="L97" s="53" t="b">
        <f ca="1">IFERROR(__xludf.DUMMYFUNCTION("if($G97="""",false, if(isna(match(L$2, split($G97:$G383,"", "",False),0)),false,true))"),FALSE)</f>
        <v>0</v>
      </c>
      <c r="M97" s="53" t="b">
        <f ca="1">IFERROR(__xludf.DUMMYFUNCTION("if($G97="""",false, if(isna(match(M$2, split($G97:$G383,"", "",False),0)),false,true))"),FALSE)</f>
        <v>0</v>
      </c>
      <c r="N97" s="53" t="b">
        <f ca="1">IFERROR(__xludf.DUMMYFUNCTION("if($G97="""",false, if(isna(match(N$2, split($G97:$G383,"", "",False),0)),false,true))"),FALSE)</f>
        <v>0</v>
      </c>
      <c r="O97" s="53" t="b">
        <f ca="1">IFERROR(__xludf.DUMMYFUNCTION("if($G97="""",false, if(isna(match(O$2, split($G97:$G383,"", "",False),0)),false,true))"),FALSE)</f>
        <v>0</v>
      </c>
      <c r="P97" s="53" t="b">
        <f ca="1">IFERROR(__xludf.DUMMYFUNCTION("if($G97="""",false, if(isna(match(P$2, split($G97:$G383,"", "",False),0)),false,true))"),FALSE)</f>
        <v>0</v>
      </c>
      <c r="Q97" s="53" t="b">
        <f ca="1">IFERROR(__xludf.DUMMYFUNCTION("if($G97="""",false, if(isna(match(Q$2, split($G97:$G383,"", "",False),0)),false,true))"),FALSE)</f>
        <v>0</v>
      </c>
      <c r="R97" s="53" t="b">
        <f ca="1">IFERROR(__xludf.DUMMYFUNCTION("if($G97="""",false, if(isna(match(R$2, split($G97:$G383,"", "",False),0)),false,true))"),FALSE)</f>
        <v>0</v>
      </c>
      <c r="S97" s="53" t="b">
        <f ca="1">IFERROR(__xludf.DUMMYFUNCTION("if($G97="""",false, if(isna(match(S$2, split($G97:$G383,"", "",False),0)),false,true))"),FALSE)</f>
        <v>0</v>
      </c>
      <c r="T97" s="53" t="b">
        <f ca="1">IFERROR(__xludf.DUMMYFUNCTION("if($G97="""",false, if(isna(match(T$2, split($G97:$G383,"", "",False),0)),false,true))"),FALSE)</f>
        <v>0</v>
      </c>
      <c r="U97" s="53" t="b">
        <f ca="1">IFERROR(__xludf.DUMMYFUNCTION("if($G97="""",false, if(isna(match(U$2, split($G97:$G383,"", "",False),0)),false,true))"),FALSE)</f>
        <v>0</v>
      </c>
      <c r="V97" s="53" t="b">
        <f ca="1">IFERROR(__xludf.DUMMYFUNCTION("if($G97="""",false, if(isna(match(V$2, split($G97:$G383,"", "",False),0)),false,true))"),FALSE)</f>
        <v>0</v>
      </c>
      <c r="W97" s="57" t="b">
        <f ca="1">IFERROR(__xludf.DUMMYFUNCTION("if($G97="""",false, if(isna(match(W$2, split($G97:$G383,"", "",False),0)),false,true))"),FALSE)</f>
        <v>0</v>
      </c>
    </row>
    <row r="98" spans="1:23" ht="14">
      <c r="A98" s="47" t="s">
        <v>356</v>
      </c>
      <c r="B98" s="48" t="s">
        <v>62</v>
      </c>
      <c r="C98" s="49" t="s">
        <v>240</v>
      </c>
      <c r="D98" s="50" t="s">
        <v>311</v>
      </c>
      <c r="E98" s="49" t="s">
        <v>71</v>
      </c>
      <c r="F98" s="51" t="s">
        <v>357</v>
      </c>
      <c r="G98" s="59" t="s">
        <v>109</v>
      </c>
      <c r="H98" s="53" t="b">
        <f ca="1">IFERROR(__xludf.DUMMYFUNCTION("if($G98="""",false, if(isna(match(H$2, split($G98:$G383,"", "",False),0)),false,true))"),FALSE)</f>
        <v>0</v>
      </c>
      <c r="I98" s="53" t="b">
        <f ca="1">IFERROR(__xludf.DUMMYFUNCTION("if($G98="""",false, if(isna(match(I$2, split($G98:$G383,"", "",False),0)),false,true))"),TRUE)</f>
        <v>1</v>
      </c>
      <c r="J98" s="53" t="b">
        <f ca="1">IFERROR(__xludf.DUMMYFUNCTION("if($G98="""",false, if(isna(match(J$2, split($G98:$G383,"", "",False),0)),false,true))"),FALSE)</f>
        <v>0</v>
      </c>
      <c r="K98" s="53" t="b">
        <f ca="1">IFERROR(__xludf.DUMMYFUNCTION("if($G98="""",false, if(isna(match(K$2, split($G98:$G383,"", "",False),0)),false,true))"),FALSE)</f>
        <v>0</v>
      </c>
      <c r="L98" s="53" t="b">
        <f ca="1">IFERROR(__xludf.DUMMYFUNCTION("if($G98="""",false, if(isna(match(L$2, split($G98:$G383,"", "",False),0)),false,true))"),FALSE)</f>
        <v>0</v>
      </c>
      <c r="M98" s="53" t="b">
        <f ca="1">IFERROR(__xludf.DUMMYFUNCTION("if($G98="""",false, if(isna(match(M$2, split($G98:$G383,"", "",False),0)),false,true))"),FALSE)</f>
        <v>0</v>
      </c>
      <c r="N98" s="53" t="b">
        <f ca="1">IFERROR(__xludf.DUMMYFUNCTION("if($G98="""",false, if(isna(match(N$2, split($G98:$G383,"", "",False),0)),false,true))"),FALSE)</f>
        <v>0</v>
      </c>
      <c r="O98" s="53" t="b">
        <f ca="1">IFERROR(__xludf.DUMMYFUNCTION("if($G98="""",false, if(isna(match(O$2, split($G98:$G383,"", "",False),0)),false,true))"),FALSE)</f>
        <v>0</v>
      </c>
      <c r="P98" s="53" t="b">
        <f ca="1">IFERROR(__xludf.DUMMYFUNCTION("if($G98="""",false, if(isna(match(P$2, split($G98:$G383,"", "",False),0)),false,true))"),FALSE)</f>
        <v>0</v>
      </c>
      <c r="Q98" s="53" t="b">
        <f ca="1">IFERROR(__xludf.DUMMYFUNCTION("if($G98="""",false, if(isna(match(Q$2, split($G98:$G383,"", "",False),0)),false,true))"),FALSE)</f>
        <v>0</v>
      </c>
      <c r="R98" s="53" t="b">
        <f ca="1">IFERROR(__xludf.DUMMYFUNCTION("if($G98="""",false, if(isna(match(R$2, split($G98:$G383,"", "",False),0)),false,true))"),FALSE)</f>
        <v>0</v>
      </c>
      <c r="S98" s="53" t="b">
        <f ca="1">IFERROR(__xludf.DUMMYFUNCTION("if($G98="""",false, if(isna(match(S$2, split($G98:$G383,"", "",False),0)),false,true))"),FALSE)</f>
        <v>0</v>
      </c>
      <c r="T98" s="53" t="b">
        <f ca="1">IFERROR(__xludf.DUMMYFUNCTION("if($G98="""",false, if(isna(match(T$2, split($G98:$G383,"", "",False),0)),false,true))"),FALSE)</f>
        <v>0</v>
      </c>
      <c r="U98" s="53" t="b">
        <f ca="1">IFERROR(__xludf.DUMMYFUNCTION("if($G98="""",false, if(isna(match(U$2, split($G98:$G383,"", "",False),0)),false,true))"),FALSE)</f>
        <v>0</v>
      </c>
      <c r="V98" s="53" t="b">
        <f ca="1">IFERROR(__xludf.DUMMYFUNCTION("if($G98="""",false, if(isna(match(V$2, split($G98:$G383,"", "",False),0)),false,true))"),FALSE)</f>
        <v>0</v>
      </c>
      <c r="W98" s="57" t="b">
        <f ca="1">IFERROR(__xludf.DUMMYFUNCTION("if($G98="""",false, if(isna(match(W$2, split($G98:$G383,"", "",False),0)),false,true))"),FALSE)</f>
        <v>0</v>
      </c>
    </row>
    <row r="99" spans="1:23" ht="42">
      <c r="A99" s="47" t="s">
        <v>358</v>
      </c>
      <c r="B99" s="48" t="s">
        <v>62</v>
      </c>
      <c r="C99" s="49" t="s">
        <v>240</v>
      </c>
      <c r="D99" s="50" t="s">
        <v>311</v>
      </c>
      <c r="E99" s="49" t="s">
        <v>71</v>
      </c>
      <c r="F99" s="51" t="s">
        <v>359</v>
      </c>
      <c r="G99" s="59" t="s">
        <v>109</v>
      </c>
      <c r="H99" s="53" t="b">
        <f ca="1">IFERROR(__xludf.DUMMYFUNCTION("if($G99="""",false, if(isna(match(H$2, split($G99:$G383,"", "",False),0)),false,true))"),FALSE)</f>
        <v>0</v>
      </c>
      <c r="I99" s="53" t="b">
        <f ca="1">IFERROR(__xludf.DUMMYFUNCTION("if($G99="""",false, if(isna(match(I$2, split($G99:$G383,"", "",False),0)),false,true))"),TRUE)</f>
        <v>1</v>
      </c>
      <c r="J99" s="53" t="b">
        <f ca="1">IFERROR(__xludf.DUMMYFUNCTION("if($G99="""",false, if(isna(match(J$2, split($G99:$G383,"", "",False),0)),false,true))"),FALSE)</f>
        <v>0</v>
      </c>
      <c r="K99" s="53" t="b">
        <f ca="1">IFERROR(__xludf.DUMMYFUNCTION("if($G99="""",false, if(isna(match(K$2, split($G99:$G383,"", "",False),0)),false,true))"),FALSE)</f>
        <v>0</v>
      </c>
      <c r="L99" s="53" t="b">
        <f ca="1">IFERROR(__xludf.DUMMYFUNCTION("if($G99="""",false, if(isna(match(L$2, split($G99:$G383,"", "",False),0)),false,true))"),FALSE)</f>
        <v>0</v>
      </c>
      <c r="M99" s="53" t="b">
        <f ca="1">IFERROR(__xludf.DUMMYFUNCTION("if($G99="""",false, if(isna(match(M$2, split($G99:$G383,"", "",False),0)),false,true))"),FALSE)</f>
        <v>0</v>
      </c>
      <c r="N99" s="53" t="b">
        <f ca="1">IFERROR(__xludf.DUMMYFUNCTION("if($G99="""",false, if(isna(match(N$2, split($G99:$G383,"", "",False),0)),false,true))"),FALSE)</f>
        <v>0</v>
      </c>
      <c r="O99" s="53" t="b">
        <f ca="1">IFERROR(__xludf.DUMMYFUNCTION("if($G99="""",false, if(isna(match(O$2, split($G99:$G383,"", "",False),0)),false,true))"),FALSE)</f>
        <v>0</v>
      </c>
      <c r="P99" s="53" t="b">
        <f ca="1">IFERROR(__xludf.DUMMYFUNCTION("if($G99="""",false, if(isna(match(P$2, split($G99:$G383,"", "",False),0)),false,true))"),FALSE)</f>
        <v>0</v>
      </c>
      <c r="Q99" s="53" t="b">
        <f ca="1">IFERROR(__xludf.DUMMYFUNCTION("if($G99="""",false, if(isna(match(Q$2, split($G99:$G383,"", "",False),0)),false,true))"),FALSE)</f>
        <v>0</v>
      </c>
      <c r="R99" s="53" t="b">
        <f ca="1">IFERROR(__xludf.DUMMYFUNCTION("if($G99="""",false, if(isna(match(R$2, split($G99:$G383,"", "",False),0)),false,true))"),FALSE)</f>
        <v>0</v>
      </c>
      <c r="S99" s="53" t="b">
        <f ca="1">IFERROR(__xludf.DUMMYFUNCTION("if($G99="""",false, if(isna(match(S$2, split($G99:$G383,"", "",False),0)),false,true))"),FALSE)</f>
        <v>0</v>
      </c>
      <c r="T99" s="53" t="b">
        <f ca="1">IFERROR(__xludf.DUMMYFUNCTION("if($G99="""",false, if(isna(match(T$2, split($G99:$G383,"", "",False),0)),false,true))"),FALSE)</f>
        <v>0</v>
      </c>
      <c r="U99" s="53" t="b">
        <f ca="1">IFERROR(__xludf.DUMMYFUNCTION("if($G99="""",false, if(isna(match(U$2, split($G99:$G383,"", "",False),0)),false,true))"),FALSE)</f>
        <v>0</v>
      </c>
      <c r="V99" s="53" t="b">
        <f ca="1">IFERROR(__xludf.DUMMYFUNCTION("if($G99="""",false, if(isna(match(V$2, split($G99:$G383,"", "",False),0)),false,true))"),FALSE)</f>
        <v>0</v>
      </c>
      <c r="W99" s="57" t="b">
        <f ca="1">IFERROR(__xludf.DUMMYFUNCTION("if($G99="""",false, if(isna(match(W$2, split($G99:$G383,"", "",False),0)),false,true))"),FALSE)</f>
        <v>0</v>
      </c>
    </row>
    <row r="100" spans="1:23" ht="42">
      <c r="A100" s="47" t="s">
        <v>360</v>
      </c>
      <c r="B100" s="48" t="s">
        <v>62</v>
      </c>
      <c r="C100" s="49" t="s">
        <v>240</v>
      </c>
      <c r="D100" s="50" t="s">
        <v>311</v>
      </c>
      <c r="E100" s="49" t="s">
        <v>71</v>
      </c>
      <c r="F100" s="51" t="s">
        <v>361</v>
      </c>
      <c r="G100" s="59" t="s">
        <v>123</v>
      </c>
      <c r="H100" s="53" t="b">
        <f ca="1">IFERROR(__xludf.DUMMYFUNCTION("if($G100="""",false, if(isna(match(H$2, split($G100:$G383,"", "",False),0)),false,true))"),FALSE)</f>
        <v>0</v>
      </c>
      <c r="I100" s="53" t="b">
        <f ca="1">IFERROR(__xludf.DUMMYFUNCTION("if($G100="""",false, if(isna(match(I$2, split($G100:$G383,"", "",False),0)),false,true))"),FALSE)</f>
        <v>0</v>
      </c>
      <c r="J100" s="53" t="b">
        <f ca="1">IFERROR(__xludf.DUMMYFUNCTION("if($G100="""",false, if(isna(match(J$2, split($G100:$G383,"", "",False),0)),false,true))"),FALSE)</f>
        <v>0</v>
      </c>
      <c r="K100" s="53" t="b">
        <f ca="1">IFERROR(__xludf.DUMMYFUNCTION("if($G100="""",false, if(isna(match(K$2, split($G100:$G383,"", "",False),0)),false,true))"),FALSE)</f>
        <v>0</v>
      </c>
      <c r="L100" s="53" t="b">
        <f ca="1">IFERROR(__xludf.DUMMYFUNCTION("if($G100="""",false, if(isna(match(L$2, split($G100:$G383,"", "",False),0)),false,true))"),FALSE)</f>
        <v>0</v>
      </c>
      <c r="M100" s="53" t="b">
        <f ca="1">IFERROR(__xludf.DUMMYFUNCTION("if($G100="""",false, if(isna(match(M$2, split($G100:$G383,"", "",False),0)),false,true))"),FALSE)</f>
        <v>0</v>
      </c>
      <c r="N100" s="53" t="b">
        <f ca="1">IFERROR(__xludf.DUMMYFUNCTION("if($G100="""",false, if(isna(match(N$2, split($G100:$G383,"", "",False),0)),false,true))"),FALSE)</f>
        <v>0</v>
      </c>
      <c r="O100" s="53" t="b">
        <f ca="1">IFERROR(__xludf.DUMMYFUNCTION("if($G100="""",false, if(isna(match(O$2, split($G100:$G383,"", "",False),0)),false,true))"),FALSE)</f>
        <v>0</v>
      </c>
      <c r="P100" s="53" t="b">
        <f ca="1">IFERROR(__xludf.DUMMYFUNCTION("if($G100="""",false, if(isna(match(P$2, split($G100:$G383,"", "",False),0)),false,true))"),FALSE)</f>
        <v>0</v>
      </c>
      <c r="Q100" s="53" t="b">
        <f ca="1">IFERROR(__xludf.DUMMYFUNCTION("if($G100="""",false, if(isna(match(Q$2, split($G100:$G383,"", "",False),0)),false,true))"),FALSE)</f>
        <v>0</v>
      </c>
      <c r="R100" s="53" t="b">
        <f ca="1">IFERROR(__xludf.DUMMYFUNCTION("if($G100="""",false, if(isna(match(R$2, split($G100:$G383,"", "",False),0)),false,true))"),FALSE)</f>
        <v>0</v>
      </c>
      <c r="S100" s="53" t="b">
        <f ca="1">IFERROR(__xludf.DUMMYFUNCTION("if($G100="""",false, if(isna(match(S$2, split($G100:$G383,"", "",False),0)),false,true))"),FALSE)</f>
        <v>0</v>
      </c>
      <c r="T100" s="53" t="b">
        <f ca="1">IFERROR(__xludf.DUMMYFUNCTION("if($G100="""",false, if(isna(match(T$2, split($G100:$G383,"", "",False),0)),false,true))"),FALSE)</f>
        <v>0</v>
      </c>
      <c r="U100" s="53" t="b">
        <f ca="1">IFERROR(__xludf.DUMMYFUNCTION("if($G100="""",false, if(isna(match(U$2, split($G100:$G383,"", "",False),0)),false,true))"),FALSE)</f>
        <v>0</v>
      </c>
      <c r="V100" s="53" t="b">
        <f ca="1">IFERROR(__xludf.DUMMYFUNCTION("if($G100="""",false, if(isna(match(V$2, split($G100:$G383,"", "",False),0)),false,true))"),FALSE)</f>
        <v>0</v>
      </c>
      <c r="W100" s="57" t="b">
        <f ca="1">IFERROR(__xludf.DUMMYFUNCTION("if($G100="""",false, if(isna(match(W$2, split($G100:$G383,"", "",False),0)),false,true))"),TRUE)</f>
        <v>1</v>
      </c>
    </row>
    <row r="101" spans="1:23" ht="70">
      <c r="A101" s="47" t="s">
        <v>362</v>
      </c>
      <c r="B101" s="48" t="s">
        <v>62</v>
      </c>
      <c r="C101" s="49" t="s">
        <v>240</v>
      </c>
      <c r="D101" s="50" t="s">
        <v>311</v>
      </c>
      <c r="E101" s="49" t="s">
        <v>71</v>
      </c>
      <c r="F101" s="51" t="s">
        <v>363</v>
      </c>
      <c r="G101" s="59" t="s">
        <v>364</v>
      </c>
      <c r="H101" s="53" t="b">
        <f ca="1">IFERROR(__xludf.DUMMYFUNCTION("if($G101="""",false, if(isna(match(H$2, split($G101:$G383,"", "",False),0)),false,true))"),FALSE)</f>
        <v>0</v>
      </c>
      <c r="I101" s="53" t="b">
        <f ca="1">IFERROR(__xludf.DUMMYFUNCTION("if($G101="""",false, if(isna(match(I$2, split($G101:$G383,"", "",False),0)),false,true))"),TRUE)</f>
        <v>1</v>
      </c>
      <c r="J101" s="53" t="b">
        <f ca="1">IFERROR(__xludf.DUMMYFUNCTION("if($G101="""",false, if(isna(match(J$2, split($G101:$G383,"", "",False),0)),false,true))"),FALSE)</f>
        <v>0</v>
      </c>
      <c r="K101" s="53" t="b">
        <f ca="1">IFERROR(__xludf.DUMMYFUNCTION("if($G101="""",false, if(isna(match(K$2, split($G101:$G383,"", "",False),0)),false,true))"),FALSE)</f>
        <v>0</v>
      </c>
      <c r="L101" s="53" t="b">
        <f ca="1">IFERROR(__xludf.DUMMYFUNCTION("if($G101="""",false, if(isna(match(L$2, split($G101:$G383,"", "",False),0)),false,true))"),FALSE)</f>
        <v>0</v>
      </c>
      <c r="M101" s="53" t="b">
        <f ca="1">IFERROR(__xludf.DUMMYFUNCTION("if($G101="""",false, if(isna(match(M$2, split($G101:$G383,"", "",False),0)),false,true))"),FALSE)</f>
        <v>0</v>
      </c>
      <c r="N101" s="53" t="b">
        <f ca="1">IFERROR(__xludf.DUMMYFUNCTION("if($G101="""",false, if(isna(match(N$2, split($G101:$G383,"", "",False),0)),false,true))"),FALSE)</f>
        <v>0</v>
      </c>
      <c r="O101" s="53" t="b">
        <f ca="1">IFERROR(__xludf.DUMMYFUNCTION("if($G101="""",false, if(isna(match(O$2, split($G101:$G383,"", "",False),0)),false,true))"),FALSE)</f>
        <v>0</v>
      </c>
      <c r="P101" s="53" t="b">
        <f ca="1">IFERROR(__xludf.DUMMYFUNCTION("if($G101="""",false, if(isna(match(P$2, split($G101:$G383,"", "",False),0)),false,true))"),FALSE)</f>
        <v>0</v>
      </c>
      <c r="Q101" s="53" t="b">
        <f ca="1">IFERROR(__xludf.DUMMYFUNCTION("if($G101="""",false, if(isna(match(Q$2, split($G101:$G383,"", "",False),0)),false,true))"),FALSE)</f>
        <v>0</v>
      </c>
      <c r="R101" s="53" t="b">
        <f ca="1">IFERROR(__xludf.DUMMYFUNCTION("if($G101="""",false, if(isna(match(R$2, split($G101:$G383,"", "",False),0)),false,true))"),FALSE)</f>
        <v>0</v>
      </c>
      <c r="S101" s="53" t="b">
        <f ca="1">IFERROR(__xludf.DUMMYFUNCTION("if($G101="""",false, if(isna(match(S$2, split($G101:$G383,"", "",False),0)),false,true))"),FALSE)</f>
        <v>0</v>
      </c>
      <c r="T101" s="53" t="b">
        <f ca="1">IFERROR(__xludf.DUMMYFUNCTION("if($G101="""",false, if(isna(match(T$2, split($G101:$G383,"", "",False),0)),false,true))"),FALSE)</f>
        <v>0</v>
      </c>
      <c r="U101" s="53" t="b">
        <f ca="1">IFERROR(__xludf.DUMMYFUNCTION("if($G101="""",false, if(isna(match(U$2, split($G101:$G383,"", "",False),0)),false,true))"),FALSE)</f>
        <v>0</v>
      </c>
      <c r="V101" s="53" t="b">
        <f ca="1">IFERROR(__xludf.DUMMYFUNCTION("if($G101="""",false, if(isna(match(V$2, split($G101:$G383,"", "",False),0)),false,true))"),FALSE)</f>
        <v>0</v>
      </c>
      <c r="W101" s="57" t="b">
        <f ca="1">IFERROR(__xludf.DUMMYFUNCTION("if($G101="""",false, if(isna(match(W$2, split($G101:$G383,"", "",False),0)),false,true))"),FALSE)</f>
        <v>0</v>
      </c>
    </row>
    <row r="102" spans="1:23" ht="70">
      <c r="A102" s="47" t="s">
        <v>365</v>
      </c>
      <c r="B102" s="48" t="s">
        <v>62</v>
      </c>
      <c r="C102" s="49" t="s">
        <v>240</v>
      </c>
      <c r="D102" s="50" t="s">
        <v>311</v>
      </c>
      <c r="E102" s="49" t="s">
        <v>71</v>
      </c>
      <c r="F102" s="51" t="s">
        <v>366</v>
      </c>
      <c r="G102" s="59" t="s">
        <v>7</v>
      </c>
      <c r="H102" s="53" t="b">
        <f ca="1">IFERROR(__xludf.DUMMYFUNCTION("if($G102="""",false, if(isna(match(H$2, split($G102:$G383,"", "",False),0)),false,true))"),FALSE)</f>
        <v>0</v>
      </c>
      <c r="I102" s="53" t="b">
        <f ca="1">IFERROR(__xludf.DUMMYFUNCTION("if($G102="""",false, if(isna(match(I$2, split($G102:$G383,"", "",False),0)),false,true))"),FALSE)</f>
        <v>0</v>
      </c>
      <c r="J102" s="53" t="b">
        <f ca="1">IFERROR(__xludf.DUMMYFUNCTION("if($G102="""",false, if(isna(match(J$2, split($G102:$G383,"", "",False),0)),false,true))"),FALSE)</f>
        <v>0</v>
      </c>
      <c r="K102" s="53" t="b">
        <f ca="1">IFERROR(__xludf.DUMMYFUNCTION("if($G102="""",false, if(isna(match(K$2, split($G102:$G383,"", "",False),0)),false,true))"),FALSE)</f>
        <v>0</v>
      </c>
      <c r="L102" s="53" t="b">
        <f ca="1">IFERROR(__xludf.DUMMYFUNCTION("if($G102="""",false, if(isna(match(L$2, split($G102:$G383,"", "",False),0)),false,true))"),FALSE)</f>
        <v>0</v>
      </c>
      <c r="M102" s="53" t="b">
        <f ca="1">IFERROR(__xludf.DUMMYFUNCTION("if($G102="""",false, if(isna(match(M$2, split($G102:$G383,"", "",False),0)),false,true))"),FALSE)</f>
        <v>0</v>
      </c>
      <c r="N102" s="53" t="b">
        <f ca="1">IFERROR(__xludf.DUMMYFUNCTION("if($G102="""",false, if(isna(match(N$2, split($G102:$G383,"", "",False),0)),false,true))"),FALSE)</f>
        <v>0</v>
      </c>
      <c r="O102" s="53" t="b">
        <f ca="1">IFERROR(__xludf.DUMMYFUNCTION("if($G102="""",false, if(isna(match(O$2, split($G102:$G383,"", "",False),0)),false,true))"),FALSE)</f>
        <v>0</v>
      </c>
      <c r="P102" s="53" t="b">
        <f ca="1">IFERROR(__xludf.DUMMYFUNCTION("if($G102="""",false, if(isna(match(P$2, split($G102:$G383,"", "",False),0)),false,true))"),FALSE)</f>
        <v>0</v>
      </c>
      <c r="Q102" s="53" t="b">
        <f ca="1">IFERROR(__xludf.DUMMYFUNCTION("if($G102="""",false, if(isna(match(Q$2, split($G102:$G383,"", "",False),0)),false,true))"),FALSE)</f>
        <v>0</v>
      </c>
      <c r="R102" s="53" t="b">
        <f ca="1">IFERROR(__xludf.DUMMYFUNCTION("if($G102="""",false, if(isna(match(R$2, split($G102:$G383,"", "",False),0)),false,true))"),FALSE)</f>
        <v>0</v>
      </c>
      <c r="S102" s="53" t="b">
        <f ca="1">IFERROR(__xludf.DUMMYFUNCTION("if($G102="""",false, if(isna(match(S$2, split($G102:$G383,"", "",False),0)),false,true))"),FALSE)</f>
        <v>0</v>
      </c>
      <c r="T102" s="53" t="b">
        <f ca="1">IFERROR(__xludf.DUMMYFUNCTION("if($G102="""",false, if(isna(match(T$2, split($G102:$G383,"", "",False),0)),false,true))"),FALSE)</f>
        <v>0</v>
      </c>
      <c r="U102" s="53" t="b">
        <f ca="1">IFERROR(__xludf.DUMMYFUNCTION("if($G102="""",false, if(isna(match(U$2, split($G102:$G383,"", "",False),0)),false,true))"),FALSE)</f>
        <v>0</v>
      </c>
      <c r="V102" s="53" t="b">
        <f ca="1">IFERROR(__xludf.DUMMYFUNCTION("if($G102="""",false, if(isna(match(V$2, split($G102:$G383,"", "",False),0)),false,true))"),FALSE)</f>
        <v>0</v>
      </c>
      <c r="W102" s="57" t="b">
        <f ca="1">IFERROR(__xludf.DUMMYFUNCTION("if($G102="""",false, if(isna(match(W$2, split($G102:$G383,"", "",False),0)),false,true))"),FALSE)</f>
        <v>0</v>
      </c>
    </row>
    <row r="103" spans="1:23" ht="84">
      <c r="A103" s="47" t="s">
        <v>367</v>
      </c>
      <c r="B103" s="48" t="s">
        <v>62</v>
      </c>
      <c r="C103" s="49" t="s">
        <v>240</v>
      </c>
      <c r="D103" s="50" t="s">
        <v>311</v>
      </c>
      <c r="E103" s="49" t="s">
        <v>71</v>
      </c>
      <c r="F103" s="51" t="s">
        <v>368</v>
      </c>
      <c r="G103" s="59" t="s">
        <v>7</v>
      </c>
      <c r="H103" s="53" t="b">
        <f ca="1">IFERROR(__xludf.DUMMYFUNCTION("if($G103="""",false, if(isna(match(H$2, split($G103:$G383,"", "",False),0)),false,true))"),FALSE)</f>
        <v>0</v>
      </c>
      <c r="I103" s="53" t="b">
        <f ca="1">IFERROR(__xludf.DUMMYFUNCTION("if($G103="""",false, if(isna(match(I$2, split($G103:$G383,"", "",False),0)),false,true))"),FALSE)</f>
        <v>0</v>
      </c>
      <c r="J103" s="53" t="b">
        <f ca="1">IFERROR(__xludf.DUMMYFUNCTION("if($G103="""",false, if(isna(match(J$2, split($G103:$G383,"", "",False),0)),false,true))"),FALSE)</f>
        <v>0</v>
      </c>
      <c r="K103" s="53" t="b">
        <f ca="1">IFERROR(__xludf.DUMMYFUNCTION("if($G103="""",false, if(isna(match(K$2, split($G103:$G383,"", "",False),0)),false,true))"),FALSE)</f>
        <v>0</v>
      </c>
      <c r="L103" s="53" t="b">
        <f ca="1">IFERROR(__xludf.DUMMYFUNCTION("if($G103="""",false, if(isna(match(L$2, split($G103:$G383,"", "",False),0)),false,true))"),FALSE)</f>
        <v>0</v>
      </c>
      <c r="M103" s="53" t="b">
        <f ca="1">IFERROR(__xludf.DUMMYFUNCTION("if($G103="""",false, if(isna(match(M$2, split($G103:$G383,"", "",False),0)),false,true))"),FALSE)</f>
        <v>0</v>
      </c>
      <c r="N103" s="53" t="b">
        <f ca="1">IFERROR(__xludf.DUMMYFUNCTION("if($G103="""",false, if(isna(match(N$2, split($G103:$G383,"", "",False),0)),false,true))"),FALSE)</f>
        <v>0</v>
      </c>
      <c r="O103" s="53" t="b">
        <f ca="1">IFERROR(__xludf.DUMMYFUNCTION("if($G103="""",false, if(isna(match(O$2, split($G103:$G383,"", "",False),0)),false,true))"),FALSE)</f>
        <v>0</v>
      </c>
      <c r="P103" s="53" t="b">
        <f ca="1">IFERROR(__xludf.DUMMYFUNCTION("if($G103="""",false, if(isna(match(P$2, split($G103:$G383,"", "",False),0)),false,true))"),FALSE)</f>
        <v>0</v>
      </c>
      <c r="Q103" s="53" t="b">
        <f ca="1">IFERROR(__xludf.DUMMYFUNCTION("if($G103="""",false, if(isna(match(Q$2, split($G103:$G383,"", "",False),0)),false,true))"),FALSE)</f>
        <v>0</v>
      </c>
      <c r="R103" s="53" t="b">
        <f ca="1">IFERROR(__xludf.DUMMYFUNCTION("if($G103="""",false, if(isna(match(R$2, split($G103:$G383,"", "",False),0)),false,true))"),FALSE)</f>
        <v>0</v>
      </c>
      <c r="S103" s="53" t="b">
        <f ca="1">IFERROR(__xludf.DUMMYFUNCTION("if($G103="""",false, if(isna(match(S$2, split($G103:$G383,"", "",False),0)),false,true))"),FALSE)</f>
        <v>0</v>
      </c>
      <c r="T103" s="53" t="b">
        <f ca="1">IFERROR(__xludf.DUMMYFUNCTION("if($G103="""",false, if(isna(match(T$2, split($G103:$G383,"", "",False),0)),false,true))"),FALSE)</f>
        <v>0</v>
      </c>
      <c r="U103" s="53" t="b">
        <f ca="1">IFERROR(__xludf.DUMMYFUNCTION("if($G103="""",false, if(isna(match(U$2, split($G103:$G383,"", "",False),0)),false,true))"),FALSE)</f>
        <v>0</v>
      </c>
      <c r="V103" s="53" t="b">
        <f ca="1">IFERROR(__xludf.DUMMYFUNCTION("if($G103="""",false, if(isna(match(V$2, split($G103:$G383,"", "",False),0)),false,true))"),FALSE)</f>
        <v>0</v>
      </c>
      <c r="W103" s="57" t="b">
        <f ca="1">IFERROR(__xludf.DUMMYFUNCTION("if($G103="""",false, if(isna(match(W$2, split($G103:$G383,"", "",False),0)),false,true))"),FALSE)</f>
        <v>0</v>
      </c>
    </row>
    <row r="104" spans="1:23" ht="56">
      <c r="A104" s="47" t="s">
        <v>369</v>
      </c>
      <c r="B104" s="48" t="s">
        <v>62</v>
      </c>
      <c r="C104" s="49" t="s">
        <v>240</v>
      </c>
      <c r="D104" s="50" t="s">
        <v>311</v>
      </c>
      <c r="E104" s="49" t="s">
        <v>71</v>
      </c>
      <c r="F104" s="51" t="s">
        <v>370</v>
      </c>
      <c r="G104" s="59" t="s">
        <v>7</v>
      </c>
      <c r="H104" s="53" t="b">
        <f ca="1">IFERROR(__xludf.DUMMYFUNCTION("if($G104="""",false, if(isna(match(H$2, split($G104:$G383,"", "",False),0)),false,true))"),FALSE)</f>
        <v>0</v>
      </c>
      <c r="I104" s="53" t="b">
        <f ca="1">IFERROR(__xludf.DUMMYFUNCTION("if($G104="""",false, if(isna(match(I$2, split($G104:$G383,"", "",False),0)),false,true))"),FALSE)</f>
        <v>0</v>
      </c>
      <c r="J104" s="53" t="b">
        <f ca="1">IFERROR(__xludf.DUMMYFUNCTION("if($G104="""",false, if(isna(match(J$2, split($G104:$G383,"", "",False),0)),false,true))"),FALSE)</f>
        <v>0</v>
      </c>
      <c r="K104" s="53" t="b">
        <f ca="1">IFERROR(__xludf.DUMMYFUNCTION("if($G104="""",false, if(isna(match(K$2, split($G104:$G383,"", "",False),0)),false,true))"),FALSE)</f>
        <v>0</v>
      </c>
      <c r="L104" s="53" t="b">
        <f ca="1">IFERROR(__xludf.DUMMYFUNCTION("if($G104="""",false, if(isna(match(L$2, split($G104:$G383,"", "",False),0)),false,true))"),FALSE)</f>
        <v>0</v>
      </c>
      <c r="M104" s="53" t="b">
        <f ca="1">IFERROR(__xludf.DUMMYFUNCTION("if($G104="""",false, if(isna(match(M$2, split($G104:$G383,"", "",False),0)),false,true))"),FALSE)</f>
        <v>0</v>
      </c>
      <c r="N104" s="53" t="b">
        <f ca="1">IFERROR(__xludf.DUMMYFUNCTION("if($G104="""",false, if(isna(match(N$2, split($G104:$G383,"", "",False),0)),false,true))"),FALSE)</f>
        <v>0</v>
      </c>
      <c r="O104" s="53" t="b">
        <f ca="1">IFERROR(__xludf.DUMMYFUNCTION("if($G104="""",false, if(isna(match(O$2, split($G104:$G383,"", "",False),0)),false,true))"),FALSE)</f>
        <v>0</v>
      </c>
      <c r="P104" s="53" t="b">
        <f ca="1">IFERROR(__xludf.DUMMYFUNCTION("if($G104="""",false, if(isna(match(P$2, split($G104:$G383,"", "",False),0)),false,true))"),FALSE)</f>
        <v>0</v>
      </c>
      <c r="Q104" s="53" t="b">
        <f ca="1">IFERROR(__xludf.DUMMYFUNCTION("if($G104="""",false, if(isna(match(Q$2, split($G104:$G383,"", "",False),0)),false,true))"),FALSE)</f>
        <v>0</v>
      </c>
      <c r="R104" s="53" t="b">
        <f ca="1">IFERROR(__xludf.DUMMYFUNCTION("if($G104="""",false, if(isna(match(R$2, split($G104:$G383,"", "",False),0)),false,true))"),FALSE)</f>
        <v>0</v>
      </c>
      <c r="S104" s="53" t="b">
        <f ca="1">IFERROR(__xludf.DUMMYFUNCTION("if($G104="""",false, if(isna(match(S$2, split($G104:$G383,"", "",False),0)),false,true))"),FALSE)</f>
        <v>0</v>
      </c>
      <c r="T104" s="53" t="b">
        <f ca="1">IFERROR(__xludf.DUMMYFUNCTION("if($G104="""",false, if(isna(match(T$2, split($G104:$G383,"", "",False),0)),false,true))"),FALSE)</f>
        <v>0</v>
      </c>
      <c r="U104" s="53" t="b">
        <f ca="1">IFERROR(__xludf.DUMMYFUNCTION("if($G104="""",false, if(isna(match(U$2, split($G104:$G383,"", "",False),0)),false,true))"),FALSE)</f>
        <v>0</v>
      </c>
      <c r="V104" s="53" t="b">
        <f ca="1">IFERROR(__xludf.DUMMYFUNCTION("if($G104="""",false, if(isna(match(V$2, split($G104:$G383,"", "",False),0)),false,true))"),FALSE)</f>
        <v>0</v>
      </c>
      <c r="W104" s="57" t="b">
        <f ca="1">IFERROR(__xludf.DUMMYFUNCTION("if($G104="""",false, if(isna(match(W$2, split($G104:$G383,"", "",False),0)),false,true))"),FALSE)</f>
        <v>0</v>
      </c>
    </row>
    <row r="105" spans="1:23" ht="14">
      <c r="A105" s="47" t="s">
        <v>371</v>
      </c>
      <c r="B105" s="48" t="s">
        <v>62</v>
      </c>
      <c r="C105" s="49" t="s">
        <v>240</v>
      </c>
      <c r="D105" s="50" t="s">
        <v>311</v>
      </c>
      <c r="E105" s="49" t="s">
        <v>71</v>
      </c>
      <c r="F105" s="51" t="s">
        <v>372</v>
      </c>
      <c r="G105" s="59" t="s">
        <v>7</v>
      </c>
      <c r="H105" s="53" t="b">
        <f ca="1">IFERROR(__xludf.DUMMYFUNCTION("if($G105="""",false, if(isna(match(H$2, split($G105:$G383,"", "",False),0)),false,true))"),FALSE)</f>
        <v>0</v>
      </c>
      <c r="I105" s="53" t="b">
        <f ca="1">IFERROR(__xludf.DUMMYFUNCTION("if($G105="""",false, if(isna(match(I$2, split($G105:$G383,"", "",False),0)),false,true))"),FALSE)</f>
        <v>0</v>
      </c>
      <c r="J105" s="53" t="b">
        <f ca="1">IFERROR(__xludf.DUMMYFUNCTION("if($G105="""",false, if(isna(match(J$2, split($G105:$G383,"", "",False),0)),false,true))"),FALSE)</f>
        <v>0</v>
      </c>
      <c r="K105" s="53" t="b">
        <f ca="1">IFERROR(__xludf.DUMMYFUNCTION("if($G105="""",false, if(isna(match(K$2, split($G105:$G383,"", "",False),0)),false,true))"),FALSE)</f>
        <v>0</v>
      </c>
      <c r="L105" s="53" t="b">
        <f ca="1">IFERROR(__xludf.DUMMYFUNCTION("if($G105="""",false, if(isna(match(L$2, split($G105:$G383,"", "",False),0)),false,true))"),FALSE)</f>
        <v>0</v>
      </c>
      <c r="M105" s="53" t="b">
        <f ca="1">IFERROR(__xludf.DUMMYFUNCTION("if($G105="""",false, if(isna(match(M$2, split($G105:$G383,"", "",False),0)),false,true))"),FALSE)</f>
        <v>0</v>
      </c>
      <c r="N105" s="53" t="b">
        <f ca="1">IFERROR(__xludf.DUMMYFUNCTION("if($G105="""",false, if(isna(match(N$2, split($G105:$G383,"", "",False),0)),false,true))"),FALSE)</f>
        <v>0</v>
      </c>
      <c r="O105" s="53" t="b">
        <f ca="1">IFERROR(__xludf.DUMMYFUNCTION("if($G105="""",false, if(isna(match(O$2, split($G105:$G383,"", "",False),0)),false,true))"),FALSE)</f>
        <v>0</v>
      </c>
      <c r="P105" s="53" t="b">
        <f ca="1">IFERROR(__xludf.DUMMYFUNCTION("if($G105="""",false, if(isna(match(P$2, split($G105:$G383,"", "",False),0)),false,true))"),FALSE)</f>
        <v>0</v>
      </c>
      <c r="Q105" s="53" t="b">
        <f ca="1">IFERROR(__xludf.DUMMYFUNCTION("if($G105="""",false, if(isna(match(Q$2, split($G105:$G383,"", "",False),0)),false,true))"),FALSE)</f>
        <v>0</v>
      </c>
      <c r="R105" s="53" t="b">
        <f ca="1">IFERROR(__xludf.DUMMYFUNCTION("if($G105="""",false, if(isna(match(R$2, split($G105:$G383,"", "",False),0)),false,true))"),FALSE)</f>
        <v>0</v>
      </c>
      <c r="S105" s="53" t="b">
        <f ca="1">IFERROR(__xludf.DUMMYFUNCTION("if($G105="""",false, if(isna(match(S$2, split($G105:$G383,"", "",False),0)),false,true))"),FALSE)</f>
        <v>0</v>
      </c>
      <c r="T105" s="53" t="b">
        <f ca="1">IFERROR(__xludf.DUMMYFUNCTION("if($G105="""",false, if(isna(match(T$2, split($G105:$G383,"", "",False),0)),false,true))"),FALSE)</f>
        <v>0</v>
      </c>
      <c r="U105" s="53" t="b">
        <f ca="1">IFERROR(__xludf.DUMMYFUNCTION("if($G105="""",false, if(isna(match(U$2, split($G105:$G383,"", "",False),0)),false,true))"),FALSE)</f>
        <v>0</v>
      </c>
      <c r="V105" s="53" t="b">
        <f ca="1">IFERROR(__xludf.DUMMYFUNCTION("if($G105="""",false, if(isna(match(V$2, split($G105:$G383,"", "",False),0)),false,true))"),FALSE)</f>
        <v>0</v>
      </c>
      <c r="W105" s="57" t="b">
        <f ca="1">IFERROR(__xludf.DUMMYFUNCTION("if($G105="""",false, if(isna(match(W$2, split($G105:$G383,"", "",False),0)),false,true))"),FALSE)</f>
        <v>0</v>
      </c>
    </row>
    <row r="106" spans="1:23" ht="182">
      <c r="A106" s="47" t="s">
        <v>373</v>
      </c>
      <c r="B106" s="48" t="s">
        <v>62</v>
      </c>
      <c r="C106" s="49" t="s">
        <v>240</v>
      </c>
      <c r="D106" s="50" t="s">
        <v>311</v>
      </c>
      <c r="E106" s="49" t="s">
        <v>71</v>
      </c>
      <c r="F106" s="51" t="s">
        <v>374</v>
      </c>
      <c r="G106" s="59" t="s">
        <v>7</v>
      </c>
      <c r="H106" s="53" t="b">
        <f ca="1">IFERROR(__xludf.DUMMYFUNCTION("if($G106="""",false, if(isna(match(H$2, split($G106:$G383,"", "",False),0)),false,true))"),FALSE)</f>
        <v>0</v>
      </c>
      <c r="I106" s="53" t="b">
        <f ca="1">IFERROR(__xludf.DUMMYFUNCTION("if($G106="""",false, if(isna(match(I$2, split($G106:$G383,"", "",False),0)),false,true))"),FALSE)</f>
        <v>0</v>
      </c>
      <c r="J106" s="53" t="b">
        <f ca="1">IFERROR(__xludf.DUMMYFUNCTION("if($G106="""",false, if(isna(match(J$2, split($G106:$G383,"", "",False),0)),false,true))"),FALSE)</f>
        <v>0</v>
      </c>
      <c r="K106" s="53" t="b">
        <f ca="1">IFERROR(__xludf.DUMMYFUNCTION("if($G106="""",false, if(isna(match(K$2, split($G106:$G383,"", "",False),0)),false,true))"),FALSE)</f>
        <v>0</v>
      </c>
      <c r="L106" s="53" t="b">
        <f ca="1">IFERROR(__xludf.DUMMYFUNCTION("if($G106="""",false, if(isna(match(L$2, split($G106:$G383,"", "",False),0)),false,true))"),FALSE)</f>
        <v>0</v>
      </c>
      <c r="M106" s="53" t="b">
        <f ca="1">IFERROR(__xludf.DUMMYFUNCTION("if($G106="""",false, if(isna(match(M$2, split($G106:$G383,"", "",False),0)),false,true))"),FALSE)</f>
        <v>0</v>
      </c>
      <c r="N106" s="53" t="b">
        <f ca="1">IFERROR(__xludf.DUMMYFUNCTION("if($G106="""",false, if(isna(match(N$2, split($G106:$G383,"", "",False),0)),false,true))"),FALSE)</f>
        <v>0</v>
      </c>
      <c r="O106" s="53" t="b">
        <f ca="1">IFERROR(__xludf.DUMMYFUNCTION("if($G106="""",false, if(isna(match(O$2, split($G106:$G383,"", "",False),0)),false,true))"),FALSE)</f>
        <v>0</v>
      </c>
      <c r="P106" s="53" t="b">
        <f ca="1">IFERROR(__xludf.DUMMYFUNCTION("if($G106="""",false, if(isna(match(P$2, split($G106:$G383,"", "",False),0)),false,true))"),FALSE)</f>
        <v>0</v>
      </c>
      <c r="Q106" s="53" t="b">
        <f ca="1">IFERROR(__xludf.DUMMYFUNCTION("if($G106="""",false, if(isna(match(Q$2, split($G106:$G383,"", "",False),0)),false,true))"),FALSE)</f>
        <v>0</v>
      </c>
      <c r="R106" s="53" t="b">
        <f ca="1">IFERROR(__xludf.DUMMYFUNCTION("if($G106="""",false, if(isna(match(R$2, split($G106:$G383,"", "",False),0)),false,true))"),FALSE)</f>
        <v>0</v>
      </c>
      <c r="S106" s="53" t="b">
        <f ca="1">IFERROR(__xludf.DUMMYFUNCTION("if($G106="""",false, if(isna(match(S$2, split($G106:$G383,"", "",False),0)),false,true))"),FALSE)</f>
        <v>0</v>
      </c>
      <c r="T106" s="53" t="b">
        <f ca="1">IFERROR(__xludf.DUMMYFUNCTION("if($G106="""",false, if(isna(match(T$2, split($G106:$G383,"", "",False),0)),false,true))"),FALSE)</f>
        <v>0</v>
      </c>
      <c r="U106" s="53" t="b">
        <f ca="1">IFERROR(__xludf.DUMMYFUNCTION("if($G106="""",false, if(isna(match(U$2, split($G106:$G383,"", "",False),0)),false,true))"),FALSE)</f>
        <v>0</v>
      </c>
      <c r="V106" s="53" t="b">
        <f ca="1">IFERROR(__xludf.DUMMYFUNCTION("if($G106="""",false, if(isna(match(V$2, split($G106:$G383,"", "",False),0)),false,true))"),FALSE)</f>
        <v>0</v>
      </c>
      <c r="W106" s="57" t="b">
        <f ca="1">IFERROR(__xludf.DUMMYFUNCTION("if($G106="""",false, if(isna(match(W$2, split($G106:$G383,"", "",False),0)),false,true))"),FALSE)</f>
        <v>0</v>
      </c>
    </row>
    <row r="107" spans="1:23" ht="28">
      <c r="A107" s="47" t="s">
        <v>375</v>
      </c>
      <c r="B107" s="48" t="s">
        <v>62</v>
      </c>
      <c r="C107" s="49" t="s">
        <v>240</v>
      </c>
      <c r="D107" s="50" t="s">
        <v>311</v>
      </c>
      <c r="E107" s="49" t="s">
        <v>71</v>
      </c>
      <c r="F107" s="51" t="s">
        <v>376</v>
      </c>
      <c r="G107" s="59" t="s">
        <v>377</v>
      </c>
      <c r="H107" s="53" t="b">
        <f ca="1">IFERROR(__xludf.DUMMYFUNCTION("if($G107="""",false, if(isna(match(H$2, split($G107:$G383,"", "",False),0)),false,true))"),FALSE)</f>
        <v>0</v>
      </c>
      <c r="I107" s="53" t="b">
        <f ca="1">IFERROR(__xludf.DUMMYFUNCTION("if($G107="""",false, if(isna(match(I$2, split($G107:$G383,"", "",False),0)),false,true))"),FALSE)</f>
        <v>0</v>
      </c>
      <c r="J107" s="53" t="b">
        <f ca="1">IFERROR(__xludf.DUMMYFUNCTION("if($G107="""",false, if(isna(match(J$2, split($G107:$G383,"", "",False),0)),false,true))"),FALSE)</f>
        <v>0</v>
      </c>
      <c r="K107" s="53" t="b">
        <f ca="1">IFERROR(__xludf.DUMMYFUNCTION("if($G107="""",false, if(isna(match(K$2, split($G107:$G383,"", "",False),0)),false,true))"),FALSE)</f>
        <v>0</v>
      </c>
      <c r="L107" s="53" t="b">
        <f ca="1">IFERROR(__xludf.DUMMYFUNCTION("if($G107="""",false, if(isna(match(L$2, split($G107:$G383,"", "",False),0)),false,true))"),FALSE)</f>
        <v>0</v>
      </c>
      <c r="M107" s="53" t="b">
        <f ca="1">IFERROR(__xludf.DUMMYFUNCTION("if($G107="""",false, if(isna(match(M$2, split($G107:$G383,"", "",False),0)),false,true))"),FALSE)</f>
        <v>0</v>
      </c>
      <c r="N107" s="53" t="b">
        <f ca="1">IFERROR(__xludf.DUMMYFUNCTION("if($G107="""",false, if(isna(match(N$2, split($G107:$G383,"", "",False),0)),false,true))"),FALSE)</f>
        <v>0</v>
      </c>
      <c r="O107" s="53" t="b">
        <f ca="1">IFERROR(__xludf.DUMMYFUNCTION("if($G107="""",false, if(isna(match(O$2, split($G107:$G383,"", "",False),0)),false,true))"),FALSE)</f>
        <v>0</v>
      </c>
      <c r="P107" s="53" t="b">
        <f ca="1">IFERROR(__xludf.DUMMYFUNCTION("if($G107="""",false, if(isna(match(P$2, split($G107:$G383,"", "",False),0)),false,true))"),FALSE)</f>
        <v>0</v>
      </c>
      <c r="Q107" s="53" t="b">
        <f ca="1">IFERROR(__xludf.DUMMYFUNCTION("if($G107="""",false, if(isna(match(Q$2, split($G107:$G383,"", "",False),0)),false,true))"),FALSE)</f>
        <v>0</v>
      </c>
      <c r="R107" s="53" t="b">
        <f ca="1">IFERROR(__xludf.DUMMYFUNCTION("if($G107="""",false, if(isna(match(R$2, split($G107:$G383,"", "",False),0)),false,true))"),FALSE)</f>
        <v>0</v>
      </c>
      <c r="S107" s="53" t="b">
        <f ca="1">IFERROR(__xludf.DUMMYFUNCTION("if($G107="""",false, if(isna(match(S$2, split($G107:$G383,"", "",False),0)),false,true))"),FALSE)</f>
        <v>0</v>
      </c>
      <c r="T107" s="53" t="b">
        <f ca="1">IFERROR(__xludf.DUMMYFUNCTION("if($G107="""",false, if(isna(match(T$2, split($G107:$G383,"", "",False),0)),false,true))"),FALSE)</f>
        <v>0</v>
      </c>
      <c r="U107" s="53" t="b">
        <f ca="1">IFERROR(__xludf.DUMMYFUNCTION("if($G107="""",false, if(isna(match(U$2, split($G107:$G383,"", "",False),0)),false,true))"),FALSE)</f>
        <v>0</v>
      </c>
      <c r="V107" s="53" t="b">
        <f ca="1">IFERROR(__xludf.DUMMYFUNCTION("if($G107="""",false, if(isna(match(V$2, split($G107:$G383,"", "",False),0)),false,true))"),FALSE)</f>
        <v>0</v>
      </c>
      <c r="W107" s="57" t="b">
        <f ca="1">IFERROR(__xludf.DUMMYFUNCTION("if($G107="""",false, if(isna(match(W$2, split($G107:$G383,"", "",False),0)),false,true))"),FALSE)</f>
        <v>0</v>
      </c>
    </row>
    <row r="108" spans="1:23" ht="84">
      <c r="A108" s="47" t="s">
        <v>378</v>
      </c>
      <c r="B108" s="48" t="s">
        <v>62</v>
      </c>
      <c r="C108" s="49" t="s">
        <v>240</v>
      </c>
      <c r="D108" s="50" t="s">
        <v>311</v>
      </c>
      <c r="E108" s="49" t="s">
        <v>71</v>
      </c>
      <c r="F108" s="51" t="s">
        <v>379</v>
      </c>
      <c r="G108" s="59" t="s">
        <v>377</v>
      </c>
      <c r="H108" s="53" t="b">
        <f ca="1">IFERROR(__xludf.DUMMYFUNCTION("if($G108="""",false, if(isna(match(H$2, split($G108:$G383,"", "",False),0)),false,true))"),FALSE)</f>
        <v>0</v>
      </c>
      <c r="I108" s="53" t="b">
        <f ca="1">IFERROR(__xludf.DUMMYFUNCTION("if($G108="""",false, if(isna(match(I$2, split($G108:$G383,"", "",False),0)),false,true))"),FALSE)</f>
        <v>0</v>
      </c>
      <c r="J108" s="53" t="b">
        <f ca="1">IFERROR(__xludf.DUMMYFUNCTION("if($G108="""",false, if(isna(match(J$2, split($G108:$G383,"", "",False),0)),false,true))"),FALSE)</f>
        <v>0</v>
      </c>
      <c r="K108" s="53" t="b">
        <f ca="1">IFERROR(__xludf.DUMMYFUNCTION("if($G108="""",false, if(isna(match(K$2, split($G108:$G383,"", "",False),0)),false,true))"),FALSE)</f>
        <v>0</v>
      </c>
      <c r="L108" s="53" t="b">
        <f ca="1">IFERROR(__xludf.DUMMYFUNCTION("if($G108="""",false, if(isna(match(L$2, split($G108:$G383,"", "",False),0)),false,true))"),FALSE)</f>
        <v>0</v>
      </c>
      <c r="M108" s="53" t="b">
        <f ca="1">IFERROR(__xludf.DUMMYFUNCTION("if($G108="""",false, if(isna(match(M$2, split($G108:$G383,"", "",False),0)),false,true))"),FALSE)</f>
        <v>0</v>
      </c>
      <c r="N108" s="53" t="b">
        <f ca="1">IFERROR(__xludf.DUMMYFUNCTION("if($G108="""",false, if(isna(match(N$2, split($G108:$G383,"", "",False),0)),false,true))"),FALSE)</f>
        <v>0</v>
      </c>
      <c r="O108" s="53" t="b">
        <f ca="1">IFERROR(__xludf.DUMMYFUNCTION("if($G108="""",false, if(isna(match(O$2, split($G108:$G383,"", "",False),0)),false,true))"),FALSE)</f>
        <v>0</v>
      </c>
      <c r="P108" s="53" t="b">
        <f ca="1">IFERROR(__xludf.DUMMYFUNCTION("if($G108="""",false, if(isna(match(P$2, split($G108:$G383,"", "",False),0)),false,true))"),FALSE)</f>
        <v>0</v>
      </c>
      <c r="Q108" s="53" t="b">
        <f ca="1">IFERROR(__xludf.DUMMYFUNCTION("if($G108="""",false, if(isna(match(Q$2, split($G108:$G383,"", "",False),0)),false,true))"),FALSE)</f>
        <v>0</v>
      </c>
      <c r="R108" s="53" t="b">
        <f ca="1">IFERROR(__xludf.DUMMYFUNCTION("if($G108="""",false, if(isna(match(R$2, split($G108:$G383,"", "",False),0)),false,true))"),FALSE)</f>
        <v>0</v>
      </c>
      <c r="S108" s="53" t="b">
        <f ca="1">IFERROR(__xludf.DUMMYFUNCTION("if($G108="""",false, if(isna(match(S$2, split($G108:$G383,"", "",False),0)),false,true))"),FALSE)</f>
        <v>0</v>
      </c>
      <c r="T108" s="53" t="b">
        <f ca="1">IFERROR(__xludf.DUMMYFUNCTION("if($G108="""",false, if(isna(match(T$2, split($G108:$G383,"", "",False),0)),false,true))"),FALSE)</f>
        <v>0</v>
      </c>
      <c r="U108" s="53" t="b">
        <f ca="1">IFERROR(__xludf.DUMMYFUNCTION("if($G108="""",false, if(isna(match(U$2, split($G108:$G383,"", "",False),0)),false,true))"),FALSE)</f>
        <v>0</v>
      </c>
      <c r="V108" s="53" t="b">
        <f ca="1">IFERROR(__xludf.DUMMYFUNCTION("if($G108="""",false, if(isna(match(V$2, split($G108:$G383,"", "",False),0)),false,true))"),FALSE)</f>
        <v>0</v>
      </c>
      <c r="W108" s="57" t="b">
        <f ca="1">IFERROR(__xludf.DUMMYFUNCTION("if($G108="""",false, if(isna(match(W$2, split($G108:$G383,"", "",False),0)),false,true))"),FALSE)</f>
        <v>0</v>
      </c>
    </row>
    <row r="109" spans="1:23" ht="210">
      <c r="A109" s="47" t="s">
        <v>380</v>
      </c>
      <c r="B109" s="48" t="s">
        <v>62</v>
      </c>
      <c r="C109" s="49" t="s">
        <v>240</v>
      </c>
      <c r="D109" s="50" t="s">
        <v>311</v>
      </c>
      <c r="E109" s="49" t="s">
        <v>71</v>
      </c>
      <c r="F109" s="51" t="s">
        <v>381</v>
      </c>
      <c r="G109" s="59" t="s">
        <v>7</v>
      </c>
      <c r="H109" s="53" t="b">
        <f ca="1">IFERROR(__xludf.DUMMYFUNCTION("if($G109="""",false, if(isna(match(H$2, split($G109:$G383,"", "",False),0)),false,true))"),FALSE)</f>
        <v>0</v>
      </c>
      <c r="I109" s="53" t="b">
        <f ca="1">IFERROR(__xludf.DUMMYFUNCTION("if($G109="""",false, if(isna(match(I$2, split($G109:$G383,"", "",False),0)),false,true))"),FALSE)</f>
        <v>0</v>
      </c>
      <c r="J109" s="53" t="b">
        <f ca="1">IFERROR(__xludf.DUMMYFUNCTION("if($G109="""",false, if(isna(match(J$2, split($G109:$G383,"", "",False),0)),false,true))"),FALSE)</f>
        <v>0</v>
      </c>
      <c r="K109" s="53" t="b">
        <f ca="1">IFERROR(__xludf.DUMMYFUNCTION("if($G109="""",false, if(isna(match(K$2, split($G109:$G383,"", "",False),0)),false,true))"),FALSE)</f>
        <v>0</v>
      </c>
      <c r="L109" s="53" t="b">
        <f ca="1">IFERROR(__xludf.DUMMYFUNCTION("if($G109="""",false, if(isna(match(L$2, split($G109:$G383,"", "",False),0)),false,true))"),FALSE)</f>
        <v>0</v>
      </c>
      <c r="M109" s="53" t="b">
        <f ca="1">IFERROR(__xludf.DUMMYFUNCTION("if($G109="""",false, if(isna(match(M$2, split($G109:$G383,"", "",False),0)),false,true))"),FALSE)</f>
        <v>0</v>
      </c>
      <c r="N109" s="53" t="b">
        <f ca="1">IFERROR(__xludf.DUMMYFUNCTION("if($G109="""",false, if(isna(match(N$2, split($G109:$G383,"", "",False),0)),false,true))"),FALSE)</f>
        <v>0</v>
      </c>
      <c r="O109" s="53" t="b">
        <f ca="1">IFERROR(__xludf.DUMMYFUNCTION("if($G109="""",false, if(isna(match(O$2, split($G109:$G383,"", "",False),0)),false,true))"),FALSE)</f>
        <v>0</v>
      </c>
      <c r="P109" s="53" t="b">
        <f ca="1">IFERROR(__xludf.DUMMYFUNCTION("if($G109="""",false, if(isna(match(P$2, split($G109:$G383,"", "",False),0)),false,true))"),FALSE)</f>
        <v>0</v>
      </c>
      <c r="Q109" s="53" t="b">
        <f ca="1">IFERROR(__xludf.DUMMYFUNCTION("if($G109="""",false, if(isna(match(Q$2, split($G109:$G383,"", "",False),0)),false,true))"),FALSE)</f>
        <v>0</v>
      </c>
      <c r="R109" s="53" t="b">
        <f ca="1">IFERROR(__xludf.DUMMYFUNCTION("if($G109="""",false, if(isna(match(R$2, split($G109:$G383,"", "",False),0)),false,true))"),FALSE)</f>
        <v>0</v>
      </c>
      <c r="S109" s="53" t="b">
        <f ca="1">IFERROR(__xludf.DUMMYFUNCTION("if($G109="""",false, if(isna(match(S$2, split($G109:$G383,"", "",False),0)),false,true))"),FALSE)</f>
        <v>0</v>
      </c>
      <c r="T109" s="53" t="b">
        <f ca="1">IFERROR(__xludf.DUMMYFUNCTION("if($G109="""",false, if(isna(match(T$2, split($G109:$G383,"", "",False),0)),false,true))"),FALSE)</f>
        <v>0</v>
      </c>
      <c r="U109" s="53" t="b">
        <f ca="1">IFERROR(__xludf.DUMMYFUNCTION("if($G109="""",false, if(isna(match(U$2, split($G109:$G383,"", "",False),0)),false,true))"),FALSE)</f>
        <v>0</v>
      </c>
      <c r="V109" s="53" t="b">
        <f ca="1">IFERROR(__xludf.DUMMYFUNCTION("if($G109="""",false, if(isna(match(V$2, split($G109:$G383,"", "",False),0)),false,true))"),FALSE)</f>
        <v>0</v>
      </c>
      <c r="W109" s="57" t="b">
        <f ca="1">IFERROR(__xludf.DUMMYFUNCTION("if($G109="""",false, if(isna(match(W$2, split($G109:$G383,"", "",False),0)),false,true))"),FALSE)</f>
        <v>0</v>
      </c>
    </row>
    <row r="110" spans="1:23" ht="42">
      <c r="A110" s="47" t="s">
        <v>382</v>
      </c>
      <c r="B110" s="48" t="s">
        <v>62</v>
      </c>
      <c r="C110" s="49" t="s">
        <v>240</v>
      </c>
      <c r="D110" s="50" t="s">
        <v>383</v>
      </c>
      <c r="E110" s="49" t="s">
        <v>384</v>
      </c>
      <c r="F110" s="51" t="s">
        <v>385</v>
      </c>
      <c r="G110" s="59" t="s">
        <v>122</v>
      </c>
      <c r="H110" s="53" t="b">
        <f ca="1">IFERROR(__xludf.DUMMYFUNCTION("if($G110="""",false, if(isna(match(H$2, split($G110:$G383,"", "",False),0)),false,true))"),FALSE)</f>
        <v>0</v>
      </c>
      <c r="I110" s="53" t="b">
        <f ca="1">IFERROR(__xludf.DUMMYFUNCTION("if($G110="""",false, if(isna(match(I$2, split($G110:$G383,"", "",False),0)),false,true))"),FALSE)</f>
        <v>0</v>
      </c>
      <c r="J110" s="53" t="b">
        <f ca="1">IFERROR(__xludf.DUMMYFUNCTION("if($G110="""",false, if(isna(match(J$2, split($G110:$G383,"", "",False),0)),false,true))"),FALSE)</f>
        <v>0</v>
      </c>
      <c r="K110" s="53" t="b">
        <f ca="1">IFERROR(__xludf.DUMMYFUNCTION("if($G110="""",false, if(isna(match(K$2, split($G110:$G383,"", "",False),0)),false,true))"),FALSE)</f>
        <v>0</v>
      </c>
      <c r="L110" s="53" t="b">
        <f ca="1">IFERROR(__xludf.DUMMYFUNCTION("if($G110="""",false, if(isna(match(L$2, split($G110:$G383,"", "",False),0)),false,true))"),FALSE)</f>
        <v>0</v>
      </c>
      <c r="M110" s="53" t="b">
        <f ca="1">IFERROR(__xludf.DUMMYFUNCTION("if($G110="""",false, if(isna(match(M$2, split($G110:$G383,"", "",False),0)),false,true))"),FALSE)</f>
        <v>0</v>
      </c>
      <c r="N110" s="53" t="b">
        <f ca="1">IFERROR(__xludf.DUMMYFUNCTION("if($G110="""",false, if(isna(match(N$2, split($G110:$G383,"", "",False),0)),false,true))"),FALSE)</f>
        <v>0</v>
      </c>
      <c r="O110" s="53" t="b">
        <f ca="1">IFERROR(__xludf.DUMMYFUNCTION("if($G110="""",false, if(isna(match(O$2, split($G110:$G383,"", "",False),0)),false,true))"),FALSE)</f>
        <v>0</v>
      </c>
      <c r="P110" s="53" t="b">
        <f ca="1">IFERROR(__xludf.DUMMYFUNCTION("if($G110="""",false, if(isna(match(P$2, split($G110:$G383,"", "",False),0)),false,true))"),FALSE)</f>
        <v>0</v>
      </c>
      <c r="Q110" s="53" t="b">
        <f ca="1">IFERROR(__xludf.DUMMYFUNCTION("if($G110="""",false, if(isna(match(Q$2, split($G110:$G383,"", "",False),0)),false,true))"),FALSE)</f>
        <v>0</v>
      </c>
      <c r="R110" s="53" t="b">
        <f ca="1">IFERROR(__xludf.DUMMYFUNCTION("if($G110="""",false, if(isna(match(R$2, split($G110:$G383,"", "",False),0)),false,true))"),FALSE)</f>
        <v>0</v>
      </c>
      <c r="S110" s="53" t="b">
        <f ca="1">IFERROR(__xludf.DUMMYFUNCTION("if($G110="""",false, if(isna(match(S$2, split($G110:$G383,"", "",False),0)),false,true))"),FALSE)</f>
        <v>0</v>
      </c>
      <c r="T110" s="53" t="b">
        <f ca="1">IFERROR(__xludf.DUMMYFUNCTION("if($G110="""",false, if(isna(match(T$2, split($G110:$G383,"", "",False),0)),false,true))"),FALSE)</f>
        <v>0</v>
      </c>
      <c r="U110" s="53" t="b">
        <f ca="1">IFERROR(__xludf.DUMMYFUNCTION("if($G110="""",false, if(isna(match(U$2, split($G110:$G383,"", "",False),0)),false,true))"),FALSE)</f>
        <v>0</v>
      </c>
      <c r="V110" s="53" t="b">
        <f ca="1">IFERROR(__xludf.DUMMYFUNCTION("if($G110="""",false, if(isna(match(V$2, split($G110:$G383,"", "",False),0)),false,true))"),TRUE)</f>
        <v>1</v>
      </c>
      <c r="W110" s="57" t="b">
        <f ca="1">IFERROR(__xludf.DUMMYFUNCTION("if($G110="""",false, if(isna(match(W$2, split($G110:$G383,"", "",False),0)),false,true))"),FALSE)</f>
        <v>0</v>
      </c>
    </row>
    <row r="111" spans="1:23" ht="140">
      <c r="A111" s="47" t="s">
        <v>386</v>
      </c>
      <c r="B111" s="48" t="s">
        <v>62</v>
      </c>
      <c r="C111" s="49" t="s">
        <v>240</v>
      </c>
      <c r="D111" s="50" t="s">
        <v>383</v>
      </c>
      <c r="E111" s="49" t="s">
        <v>387</v>
      </c>
      <c r="F111" s="51" t="s">
        <v>388</v>
      </c>
      <c r="G111" s="59" t="s">
        <v>389</v>
      </c>
      <c r="H111" s="53" t="b">
        <f ca="1">IFERROR(__xludf.DUMMYFUNCTION("if($G111="""",false, if(isna(match(H$2, split($G111:$G383,"", "",False),0)),false,true))"),FALSE)</f>
        <v>0</v>
      </c>
      <c r="I111" s="53" t="b">
        <f ca="1">IFERROR(__xludf.DUMMYFUNCTION("if($G111="""",false, if(isna(match(I$2, split($G111:$G383,"", "",False),0)),false,true))"),FALSE)</f>
        <v>0</v>
      </c>
      <c r="J111" s="53" t="b">
        <f ca="1">IFERROR(__xludf.DUMMYFUNCTION("if($G111="""",false, if(isna(match(J$2, split($G111:$G383,"", "",False),0)),false,true))"),FALSE)</f>
        <v>0</v>
      </c>
      <c r="K111" s="53" t="b">
        <f ca="1">IFERROR(__xludf.DUMMYFUNCTION("if($G111="""",false, if(isna(match(K$2, split($G111:$G383,"", "",False),0)),false,true))"),FALSE)</f>
        <v>0</v>
      </c>
      <c r="L111" s="53" t="b">
        <f ca="1">IFERROR(__xludf.DUMMYFUNCTION("if($G111="""",false, if(isna(match(L$2, split($G111:$G383,"", "",False),0)),false,true))"),FALSE)</f>
        <v>0</v>
      </c>
      <c r="M111" s="53" t="b">
        <f ca="1">IFERROR(__xludf.DUMMYFUNCTION("if($G111="""",false, if(isna(match(M$2, split($G111:$G383,"", "",False),0)),false,true))"),FALSE)</f>
        <v>0</v>
      </c>
      <c r="N111" s="53" t="b">
        <f ca="1">IFERROR(__xludf.DUMMYFUNCTION("if($G111="""",false, if(isna(match(N$2, split($G111:$G383,"", "",False),0)),false,true))"),FALSE)</f>
        <v>0</v>
      </c>
      <c r="O111" s="53" t="b">
        <f ca="1">IFERROR(__xludf.DUMMYFUNCTION("if($G111="""",false, if(isna(match(O$2, split($G111:$G383,"", "",False),0)),false,true))"),FALSE)</f>
        <v>0</v>
      </c>
      <c r="P111" s="53" t="b">
        <f ca="1">IFERROR(__xludf.DUMMYFUNCTION("if($G111="""",false, if(isna(match(P$2, split($G111:$G383,"", "",False),0)),false,true))"),FALSE)</f>
        <v>0</v>
      </c>
      <c r="Q111" s="53" t="b">
        <f ca="1">IFERROR(__xludf.DUMMYFUNCTION("if($G111="""",false, if(isna(match(Q$2, split($G111:$G383,"", "",False),0)),false,true))"),FALSE)</f>
        <v>0</v>
      </c>
      <c r="R111" s="53" t="b">
        <f ca="1">IFERROR(__xludf.DUMMYFUNCTION("if($G111="""",false, if(isna(match(R$2, split($G111:$G383,"", "",False),0)),false,true))"),FALSE)</f>
        <v>0</v>
      </c>
      <c r="S111" s="53" t="b">
        <f ca="1">IFERROR(__xludf.DUMMYFUNCTION("if($G111="""",false, if(isna(match(S$2, split($G111:$G383,"", "",False),0)),false,true))"),FALSE)</f>
        <v>0</v>
      </c>
      <c r="T111" s="53" t="b">
        <f ca="1">IFERROR(__xludf.DUMMYFUNCTION("if($G111="""",false, if(isna(match(T$2, split($G111:$G383,"", "",False),0)),false,true))"),FALSE)</f>
        <v>0</v>
      </c>
      <c r="U111" s="53" t="b">
        <f ca="1">IFERROR(__xludf.DUMMYFUNCTION("if($G111="""",false, if(isna(match(U$2, split($G111:$G383,"", "",False),0)),false,true))"),FALSE)</f>
        <v>0</v>
      </c>
      <c r="V111" s="53" t="b">
        <f ca="1">IFERROR(__xludf.DUMMYFUNCTION("if($G111="""",false, if(isna(match(V$2, split($G111:$G383,"", "",False),0)),false,true))"),FALSE)</f>
        <v>0</v>
      </c>
      <c r="W111" s="57" t="b">
        <f ca="1">IFERROR(__xludf.DUMMYFUNCTION("if($G111="""",false, if(isna(match(W$2, split($G111:$G383,"", "",False),0)),false,true))"),FALSE)</f>
        <v>0</v>
      </c>
    </row>
    <row r="112" spans="1:23" ht="126">
      <c r="A112" s="47" t="s">
        <v>390</v>
      </c>
      <c r="B112" s="48" t="s">
        <v>62</v>
      </c>
      <c r="C112" s="49" t="s">
        <v>240</v>
      </c>
      <c r="D112" s="50" t="s">
        <v>383</v>
      </c>
      <c r="E112" s="49" t="s">
        <v>387</v>
      </c>
      <c r="F112" s="51" t="s">
        <v>391</v>
      </c>
      <c r="G112" s="59" t="s">
        <v>389</v>
      </c>
      <c r="H112" s="53" t="b">
        <f ca="1">IFERROR(__xludf.DUMMYFUNCTION("if($G112="""",false, if(isna(match(H$2, split($G112:$G383,"", "",False),0)),false,true))"),FALSE)</f>
        <v>0</v>
      </c>
      <c r="I112" s="53" t="b">
        <f ca="1">IFERROR(__xludf.DUMMYFUNCTION("if($G112="""",false, if(isna(match(I$2, split($G112:$G383,"", "",False),0)),false,true))"),FALSE)</f>
        <v>0</v>
      </c>
      <c r="J112" s="53" t="b">
        <f ca="1">IFERROR(__xludf.DUMMYFUNCTION("if($G112="""",false, if(isna(match(J$2, split($G112:$G383,"", "",False),0)),false,true))"),FALSE)</f>
        <v>0</v>
      </c>
      <c r="K112" s="53" t="b">
        <f ca="1">IFERROR(__xludf.DUMMYFUNCTION("if($G112="""",false, if(isna(match(K$2, split($G112:$G383,"", "",False),0)),false,true))"),FALSE)</f>
        <v>0</v>
      </c>
      <c r="L112" s="53" t="b">
        <f ca="1">IFERROR(__xludf.DUMMYFUNCTION("if($G112="""",false, if(isna(match(L$2, split($G112:$G383,"", "",False),0)),false,true))"),FALSE)</f>
        <v>0</v>
      </c>
      <c r="M112" s="53" t="b">
        <f ca="1">IFERROR(__xludf.DUMMYFUNCTION("if($G112="""",false, if(isna(match(M$2, split($G112:$G383,"", "",False),0)),false,true))"),FALSE)</f>
        <v>0</v>
      </c>
      <c r="N112" s="53" t="b">
        <f ca="1">IFERROR(__xludf.DUMMYFUNCTION("if($G112="""",false, if(isna(match(N$2, split($G112:$G383,"", "",False),0)),false,true))"),FALSE)</f>
        <v>0</v>
      </c>
      <c r="O112" s="53" t="b">
        <f ca="1">IFERROR(__xludf.DUMMYFUNCTION("if($G112="""",false, if(isna(match(O$2, split($G112:$G383,"", "",False),0)),false,true))"),FALSE)</f>
        <v>0</v>
      </c>
      <c r="P112" s="53" t="b">
        <f ca="1">IFERROR(__xludf.DUMMYFUNCTION("if($G112="""",false, if(isna(match(P$2, split($G112:$G383,"", "",False),0)),false,true))"),FALSE)</f>
        <v>0</v>
      </c>
      <c r="Q112" s="53" t="b">
        <f ca="1">IFERROR(__xludf.DUMMYFUNCTION("if($G112="""",false, if(isna(match(Q$2, split($G112:$G383,"", "",False),0)),false,true))"),FALSE)</f>
        <v>0</v>
      </c>
      <c r="R112" s="53" t="b">
        <f ca="1">IFERROR(__xludf.DUMMYFUNCTION("if($G112="""",false, if(isna(match(R$2, split($G112:$G383,"", "",False),0)),false,true))"),FALSE)</f>
        <v>0</v>
      </c>
      <c r="S112" s="53" t="b">
        <f ca="1">IFERROR(__xludf.DUMMYFUNCTION("if($G112="""",false, if(isna(match(S$2, split($G112:$G383,"", "",False),0)),false,true))"),FALSE)</f>
        <v>0</v>
      </c>
      <c r="T112" s="53" t="b">
        <f ca="1">IFERROR(__xludf.DUMMYFUNCTION("if($G112="""",false, if(isna(match(T$2, split($G112:$G383,"", "",False),0)),false,true))"),FALSE)</f>
        <v>0</v>
      </c>
      <c r="U112" s="53" t="b">
        <f ca="1">IFERROR(__xludf.DUMMYFUNCTION("if($G112="""",false, if(isna(match(U$2, split($G112:$G383,"", "",False),0)),false,true))"),FALSE)</f>
        <v>0</v>
      </c>
      <c r="V112" s="53" t="b">
        <f ca="1">IFERROR(__xludf.DUMMYFUNCTION("if($G112="""",false, if(isna(match(V$2, split($G112:$G383,"", "",False),0)),false,true))"),FALSE)</f>
        <v>0</v>
      </c>
      <c r="W112" s="57" t="b">
        <f ca="1">IFERROR(__xludf.DUMMYFUNCTION("if($G112="""",false, if(isna(match(W$2, split($G112:$G383,"", "",False),0)),false,true))"),FALSE)</f>
        <v>0</v>
      </c>
    </row>
    <row r="113" spans="1:23" ht="126">
      <c r="A113" s="47" t="s">
        <v>392</v>
      </c>
      <c r="B113" s="48" t="s">
        <v>62</v>
      </c>
      <c r="C113" s="49" t="s">
        <v>240</v>
      </c>
      <c r="D113" s="50" t="s">
        <v>383</v>
      </c>
      <c r="E113" s="49" t="s">
        <v>387</v>
      </c>
      <c r="F113" s="51" t="s">
        <v>393</v>
      </c>
      <c r="G113" s="59" t="s">
        <v>389</v>
      </c>
      <c r="H113" s="53" t="b">
        <f ca="1">IFERROR(__xludf.DUMMYFUNCTION("if($G113="""",false, if(isna(match(H$2, split($G113:$G383,"", "",False),0)),false,true))"),FALSE)</f>
        <v>0</v>
      </c>
      <c r="I113" s="53" t="b">
        <f ca="1">IFERROR(__xludf.DUMMYFUNCTION("if($G113="""",false, if(isna(match(I$2, split($G113:$G383,"", "",False),0)),false,true))"),FALSE)</f>
        <v>0</v>
      </c>
      <c r="J113" s="53" t="b">
        <f ca="1">IFERROR(__xludf.DUMMYFUNCTION("if($G113="""",false, if(isna(match(J$2, split($G113:$G383,"", "",False),0)),false,true))"),FALSE)</f>
        <v>0</v>
      </c>
      <c r="K113" s="53" t="b">
        <f ca="1">IFERROR(__xludf.DUMMYFUNCTION("if($G113="""",false, if(isna(match(K$2, split($G113:$G383,"", "",False),0)),false,true))"),FALSE)</f>
        <v>0</v>
      </c>
      <c r="L113" s="53" t="b">
        <f ca="1">IFERROR(__xludf.DUMMYFUNCTION("if($G113="""",false, if(isna(match(L$2, split($G113:$G383,"", "",False),0)),false,true))"),FALSE)</f>
        <v>0</v>
      </c>
      <c r="M113" s="53" t="b">
        <f ca="1">IFERROR(__xludf.DUMMYFUNCTION("if($G113="""",false, if(isna(match(M$2, split($G113:$G383,"", "",False),0)),false,true))"),FALSE)</f>
        <v>0</v>
      </c>
      <c r="N113" s="53" t="b">
        <f ca="1">IFERROR(__xludf.DUMMYFUNCTION("if($G113="""",false, if(isna(match(N$2, split($G113:$G383,"", "",False),0)),false,true))"),FALSE)</f>
        <v>0</v>
      </c>
      <c r="O113" s="53" t="b">
        <f ca="1">IFERROR(__xludf.DUMMYFUNCTION("if($G113="""",false, if(isna(match(O$2, split($G113:$G383,"", "",False),0)),false,true))"),FALSE)</f>
        <v>0</v>
      </c>
      <c r="P113" s="53" t="b">
        <f ca="1">IFERROR(__xludf.DUMMYFUNCTION("if($G113="""",false, if(isna(match(P$2, split($G113:$G383,"", "",False),0)),false,true))"),FALSE)</f>
        <v>0</v>
      </c>
      <c r="Q113" s="53" t="b">
        <f ca="1">IFERROR(__xludf.DUMMYFUNCTION("if($G113="""",false, if(isna(match(Q$2, split($G113:$G383,"", "",False),0)),false,true))"),FALSE)</f>
        <v>0</v>
      </c>
      <c r="R113" s="53" t="b">
        <f ca="1">IFERROR(__xludf.DUMMYFUNCTION("if($G113="""",false, if(isna(match(R$2, split($G113:$G383,"", "",False),0)),false,true))"),FALSE)</f>
        <v>0</v>
      </c>
      <c r="S113" s="53" t="b">
        <f ca="1">IFERROR(__xludf.DUMMYFUNCTION("if($G113="""",false, if(isna(match(S$2, split($G113:$G383,"", "",False),0)),false,true))"),FALSE)</f>
        <v>0</v>
      </c>
      <c r="T113" s="53" t="b">
        <f ca="1">IFERROR(__xludf.DUMMYFUNCTION("if($G113="""",false, if(isna(match(T$2, split($G113:$G383,"", "",False),0)),false,true))"),FALSE)</f>
        <v>0</v>
      </c>
      <c r="U113" s="53" t="b">
        <f ca="1">IFERROR(__xludf.DUMMYFUNCTION("if($G113="""",false, if(isna(match(U$2, split($G113:$G383,"", "",False),0)),false,true))"),FALSE)</f>
        <v>0</v>
      </c>
      <c r="V113" s="53" t="b">
        <f ca="1">IFERROR(__xludf.DUMMYFUNCTION("if($G113="""",false, if(isna(match(V$2, split($G113:$G383,"", "",False),0)),false,true))"),FALSE)</f>
        <v>0</v>
      </c>
      <c r="W113" s="57" t="b">
        <f ca="1">IFERROR(__xludf.DUMMYFUNCTION("if($G113="""",false, if(isna(match(W$2, split($G113:$G383,"", "",False),0)),false,true))"),FALSE)</f>
        <v>0</v>
      </c>
    </row>
    <row r="114" spans="1:23" ht="28">
      <c r="A114" s="47" t="s">
        <v>394</v>
      </c>
      <c r="B114" s="48" t="s">
        <v>62</v>
      </c>
      <c r="C114" s="49" t="s">
        <v>240</v>
      </c>
      <c r="D114" s="50" t="s">
        <v>383</v>
      </c>
      <c r="E114" s="49" t="s">
        <v>387</v>
      </c>
      <c r="F114" s="51" t="s">
        <v>395</v>
      </c>
      <c r="G114" s="59" t="s">
        <v>389</v>
      </c>
      <c r="H114" s="53" t="b">
        <f ca="1">IFERROR(__xludf.DUMMYFUNCTION("if($G114="""",false, if(isna(match(H$2, split($G114:$G383,"", "",False),0)),false,true))"),FALSE)</f>
        <v>0</v>
      </c>
      <c r="I114" s="53" t="b">
        <f ca="1">IFERROR(__xludf.DUMMYFUNCTION("if($G114="""",false, if(isna(match(I$2, split($G114:$G383,"", "",False),0)),false,true))"),FALSE)</f>
        <v>0</v>
      </c>
      <c r="J114" s="53" t="b">
        <f ca="1">IFERROR(__xludf.DUMMYFUNCTION("if($G114="""",false, if(isna(match(J$2, split($G114:$G383,"", "",False),0)),false,true))"),FALSE)</f>
        <v>0</v>
      </c>
      <c r="K114" s="53" t="b">
        <f ca="1">IFERROR(__xludf.DUMMYFUNCTION("if($G114="""",false, if(isna(match(K$2, split($G114:$G383,"", "",False),0)),false,true))"),FALSE)</f>
        <v>0</v>
      </c>
      <c r="L114" s="53" t="b">
        <f ca="1">IFERROR(__xludf.DUMMYFUNCTION("if($G114="""",false, if(isna(match(L$2, split($G114:$G383,"", "",False),0)),false,true))"),FALSE)</f>
        <v>0</v>
      </c>
      <c r="M114" s="53" t="b">
        <f ca="1">IFERROR(__xludf.DUMMYFUNCTION("if($G114="""",false, if(isna(match(M$2, split($G114:$G383,"", "",False),0)),false,true))"),FALSE)</f>
        <v>0</v>
      </c>
      <c r="N114" s="53" t="b">
        <f ca="1">IFERROR(__xludf.DUMMYFUNCTION("if($G114="""",false, if(isna(match(N$2, split($G114:$G383,"", "",False),0)),false,true))"),FALSE)</f>
        <v>0</v>
      </c>
      <c r="O114" s="53" t="b">
        <f ca="1">IFERROR(__xludf.DUMMYFUNCTION("if($G114="""",false, if(isna(match(O$2, split($G114:$G383,"", "",False),0)),false,true))"),FALSE)</f>
        <v>0</v>
      </c>
      <c r="P114" s="53" t="b">
        <f ca="1">IFERROR(__xludf.DUMMYFUNCTION("if($G114="""",false, if(isna(match(P$2, split($G114:$G383,"", "",False),0)),false,true))"),FALSE)</f>
        <v>0</v>
      </c>
      <c r="Q114" s="53" t="b">
        <f ca="1">IFERROR(__xludf.DUMMYFUNCTION("if($G114="""",false, if(isna(match(Q$2, split($G114:$G383,"", "",False),0)),false,true))"),FALSE)</f>
        <v>0</v>
      </c>
      <c r="R114" s="53" t="b">
        <f ca="1">IFERROR(__xludf.DUMMYFUNCTION("if($G114="""",false, if(isna(match(R$2, split($G114:$G383,"", "",False),0)),false,true))"),FALSE)</f>
        <v>0</v>
      </c>
      <c r="S114" s="53" t="b">
        <f ca="1">IFERROR(__xludf.DUMMYFUNCTION("if($G114="""",false, if(isna(match(S$2, split($G114:$G383,"", "",False),0)),false,true))"),FALSE)</f>
        <v>0</v>
      </c>
      <c r="T114" s="53" t="b">
        <f ca="1">IFERROR(__xludf.DUMMYFUNCTION("if($G114="""",false, if(isna(match(T$2, split($G114:$G383,"", "",False),0)),false,true))"),FALSE)</f>
        <v>0</v>
      </c>
      <c r="U114" s="53" t="b">
        <f ca="1">IFERROR(__xludf.DUMMYFUNCTION("if($G114="""",false, if(isna(match(U$2, split($G114:$G383,"", "",False),0)),false,true))"),FALSE)</f>
        <v>0</v>
      </c>
      <c r="V114" s="53" t="b">
        <f ca="1">IFERROR(__xludf.DUMMYFUNCTION("if($G114="""",false, if(isna(match(V$2, split($G114:$G383,"", "",False),0)),false,true))"),FALSE)</f>
        <v>0</v>
      </c>
      <c r="W114" s="57" t="b">
        <f ca="1">IFERROR(__xludf.DUMMYFUNCTION("if($G114="""",false, if(isna(match(W$2, split($G114:$G383,"", "",False),0)),false,true))"),FALSE)</f>
        <v>0</v>
      </c>
    </row>
    <row r="115" spans="1:23" ht="126">
      <c r="A115" s="47" t="s">
        <v>396</v>
      </c>
      <c r="B115" s="48" t="s">
        <v>62</v>
      </c>
      <c r="C115" s="49" t="s">
        <v>240</v>
      </c>
      <c r="D115" s="50" t="s">
        <v>383</v>
      </c>
      <c r="E115" s="49" t="s">
        <v>397</v>
      </c>
      <c r="F115" s="51" t="s">
        <v>398</v>
      </c>
      <c r="G115" s="59" t="s">
        <v>389</v>
      </c>
      <c r="H115" s="53" t="b">
        <f ca="1">IFERROR(__xludf.DUMMYFUNCTION("if($G115="""",false, if(isna(match(H$2, split($G115:$G383,"", "",False),0)),false,true))"),FALSE)</f>
        <v>0</v>
      </c>
      <c r="I115" s="53" t="b">
        <f ca="1">IFERROR(__xludf.DUMMYFUNCTION("if($G115="""",false, if(isna(match(I$2, split($G115:$G383,"", "",False),0)),false,true))"),FALSE)</f>
        <v>0</v>
      </c>
      <c r="J115" s="53" t="b">
        <f ca="1">IFERROR(__xludf.DUMMYFUNCTION("if($G115="""",false, if(isna(match(J$2, split($G115:$G383,"", "",False),0)),false,true))"),FALSE)</f>
        <v>0</v>
      </c>
      <c r="K115" s="53" t="b">
        <f ca="1">IFERROR(__xludf.DUMMYFUNCTION("if($G115="""",false, if(isna(match(K$2, split($G115:$G383,"", "",False),0)),false,true))"),FALSE)</f>
        <v>0</v>
      </c>
      <c r="L115" s="53" t="b">
        <f ca="1">IFERROR(__xludf.DUMMYFUNCTION("if($G115="""",false, if(isna(match(L$2, split($G115:$G383,"", "",False),0)),false,true))"),FALSE)</f>
        <v>0</v>
      </c>
      <c r="M115" s="53" t="b">
        <f ca="1">IFERROR(__xludf.DUMMYFUNCTION("if($G115="""",false, if(isna(match(M$2, split($G115:$G383,"", "",False),0)),false,true))"),FALSE)</f>
        <v>0</v>
      </c>
      <c r="N115" s="53" t="b">
        <f ca="1">IFERROR(__xludf.DUMMYFUNCTION("if($G115="""",false, if(isna(match(N$2, split($G115:$G383,"", "",False),0)),false,true))"),FALSE)</f>
        <v>0</v>
      </c>
      <c r="O115" s="53" t="b">
        <f ca="1">IFERROR(__xludf.DUMMYFUNCTION("if($G115="""",false, if(isna(match(O$2, split($G115:$G383,"", "",False),0)),false,true))"),FALSE)</f>
        <v>0</v>
      </c>
      <c r="P115" s="53" t="b">
        <f ca="1">IFERROR(__xludf.DUMMYFUNCTION("if($G115="""",false, if(isna(match(P$2, split($G115:$G383,"", "",False),0)),false,true))"),FALSE)</f>
        <v>0</v>
      </c>
      <c r="Q115" s="53" t="b">
        <f ca="1">IFERROR(__xludf.DUMMYFUNCTION("if($G115="""",false, if(isna(match(Q$2, split($G115:$G383,"", "",False),0)),false,true))"),FALSE)</f>
        <v>0</v>
      </c>
      <c r="R115" s="53" t="b">
        <f ca="1">IFERROR(__xludf.DUMMYFUNCTION("if($G115="""",false, if(isna(match(R$2, split($G115:$G383,"", "",False),0)),false,true))"),FALSE)</f>
        <v>0</v>
      </c>
      <c r="S115" s="53" t="b">
        <f ca="1">IFERROR(__xludf.DUMMYFUNCTION("if($G115="""",false, if(isna(match(S$2, split($G115:$G383,"", "",False),0)),false,true))"),FALSE)</f>
        <v>0</v>
      </c>
      <c r="T115" s="53" t="b">
        <f ca="1">IFERROR(__xludf.DUMMYFUNCTION("if($G115="""",false, if(isna(match(T$2, split($G115:$G383,"", "",False),0)),false,true))"),FALSE)</f>
        <v>0</v>
      </c>
      <c r="U115" s="53" t="b">
        <f ca="1">IFERROR(__xludf.DUMMYFUNCTION("if($G115="""",false, if(isna(match(U$2, split($G115:$G383,"", "",False),0)),false,true))"),FALSE)</f>
        <v>0</v>
      </c>
      <c r="V115" s="53" t="b">
        <f ca="1">IFERROR(__xludf.DUMMYFUNCTION("if($G115="""",false, if(isna(match(V$2, split($G115:$G383,"", "",False),0)),false,true))"),FALSE)</f>
        <v>0</v>
      </c>
      <c r="W115" s="57" t="b">
        <f ca="1">IFERROR(__xludf.DUMMYFUNCTION("if($G115="""",false, if(isna(match(W$2, split($G115:$G383,"", "",False),0)),false,true))"),FALSE)</f>
        <v>0</v>
      </c>
    </row>
    <row r="116" spans="1:23" ht="28">
      <c r="A116" s="47" t="s">
        <v>399</v>
      </c>
      <c r="B116" s="48" t="s">
        <v>62</v>
      </c>
      <c r="C116" s="49" t="s">
        <v>240</v>
      </c>
      <c r="D116" s="50" t="s">
        <v>400</v>
      </c>
      <c r="E116" s="49" t="s">
        <v>401</v>
      </c>
      <c r="F116" s="51" t="s">
        <v>402</v>
      </c>
      <c r="G116" s="59" t="s">
        <v>112</v>
      </c>
      <c r="H116" s="53" t="b">
        <f ca="1">IFERROR(__xludf.DUMMYFUNCTION("if($G116="""",false, if(isna(match(H$2, split($G116:$G383,"", "",False),0)),false,true))"),FALSE)</f>
        <v>0</v>
      </c>
      <c r="I116" s="53" t="b">
        <f ca="1">IFERROR(__xludf.DUMMYFUNCTION("if($G116="""",false, if(isna(match(I$2, split($G116:$G383,"", "",False),0)),false,true))"),FALSE)</f>
        <v>0</v>
      </c>
      <c r="J116" s="53" t="b">
        <f ca="1">IFERROR(__xludf.DUMMYFUNCTION("if($G116="""",false, if(isna(match(J$2, split($G116:$G383,"", "",False),0)),false,true))"),FALSE)</f>
        <v>0</v>
      </c>
      <c r="K116" s="53" t="b">
        <f ca="1">IFERROR(__xludf.DUMMYFUNCTION("if($G116="""",false, if(isna(match(K$2, split($G116:$G383,"", "",False),0)),false,true))"),FALSE)</f>
        <v>0</v>
      </c>
      <c r="L116" s="53" t="b">
        <f ca="1">IFERROR(__xludf.DUMMYFUNCTION("if($G116="""",false, if(isna(match(L$2, split($G116:$G383,"", "",False),0)),false,true))"),TRUE)</f>
        <v>1</v>
      </c>
      <c r="M116" s="53" t="b">
        <f ca="1">IFERROR(__xludf.DUMMYFUNCTION("if($G116="""",false, if(isna(match(M$2, split($G116:$G383,"", "",False),0)),false,true))"),FALSE)</f>
        <v>0</v>
      </c>
      <c r="N116" s="53" t="b">
        <f ca="1">IFERROR(__xludf.DUMMYFUNCTION("if($G116="""",false, if(isna(match(N$2, split($G116:$G383,"", "",False),0)),false,true))"),FALSE)</f>
        <v>0</v>
      </c>
      <c r="O116" s="53" t="b">
        <f ca="1">IFERROR(__xludf.DUMMYFUNCTION("if($G116="""",false, if(isna(match(O$2, split($G116:$G383,"", "",False),0)),false,true))"),FALSE)</f>
        <v>0</v>
      </c>
      <c r="P116" s="53" t="b">
        <f ca="1">IFERROR(__xludf.DUMMYFUNCTION("if($G116="""",false, if(isna(match(P$2, split($G116:$G383,"", "",False),0)),false,true))"),FALSE)</f>
        <v>0</v>
      </c>
      <c r="Q116" s="53" t="b">
        <f ca="1">IFERROR(__xludf.DUMMYFUNCTION("if($G116="""",false, if(isna(match(Q$2, split($G116:$G383,"", "",False),0)),false,true))"),FALSE)</f>
        <v>0</v>
      </c>
      <c r="R116" s="53" t="b">
        <f ca="1">IFERROR(__xludf.DUMMYFUNCTION("if($G116="""",false, if(isna(match(R$2, split($G116:$G383,"", "",False),0)),false,true))"),FALSE)</f>
        <v>0</v>
      </c>
      <c r="S116" s="53" t="b">
        <f ca="1">IFERROR(__xludf.DUMMYFUNCTION("if($G116="""",false, if(isna(match(S$2, split($G116:$G383,"", "",False),0)),false,true))"),FALSE)</f>
        <v>0</v>
      </c>
      <c r="T116" s="53" t="b">
        <f ca="1">IFERROR(__xludf.DUMMYFUNCTION("if($G116="""",false, if(isna(match(T$2, split($G116:$G383,"", "",False),0)),false,true))"),FALSE)</f>
        <v>0</v>
      </c>
      <c r="U116" s="53" t="b">
        <f ca="1">IFERROR(__xludf.DUMMYFUNCTION("if($G116="""",false, if(isna(match(U$2, split($G116:$G383,"", "",False),0)),false,true))"),FALSE)</f>
        <v>0</v>
      </c>
      <c r="V116" s="53" t="b">
        <f ca="1">IFERROR(__xludf.DUMMYFUNCTION("if($G116="""",false, if(isna(match(V$2, split($G116:$G383,"", "",False),0)),false,true))"),FALSE)</f>
        <v>0</v>
      </c>
      <c r="W116" s="57" t="b">
        <f ca="1">IFERROR(__xludf.DUMMYFUNCTION("if($G116="""",false, if(isna(match(W$2, split($G116:$G383,"", "",False),0)),false,true))"),FALSE)</f>
        <v>0</v>
      </c>
    </row>
    <row r="117" spans="1:23" ht="28">
      <c r="A117" s="47" t="s">
        <v>403</v>
      </c>
      <c r="B117" s="48" t="s">
        <v>62</v>
      </c>
      <c r="C117" s="49" t="s">
        <v>240</v>
      </c>
      <c r="D117" s="50" t="s">
        <v>400</v>
      </c>
      <c r="E117" s="49" t="s">
        <v>401</v>
      </c>
      <c r="F117" s="51" t="s">
        <v>404</v>
      </c>
      <c r="G117" s="59" t="s">
        <v>115</v>
      </c>
      <c r="H117" s="53" t="b">
        <f ca="1">IFERROR(__xludf.DUMMYFUNCTION("if($G117="""",false, if(isna(match(H$2, split($G117:$G383,"", "",False),0)),false,true))"),FALSE)</f>
        <v>0</v>
      </c>
      <c r="I117" s="53" t="b">
        <f ca="1">IFERROR(__xludf.DUMMYFUNCTION("if($G117="""",false, if(isna(match(I$2, split($G117:$G383,"", "",False),0)),false,true))"),FALSE)</f>
        <v>0</v>
      </c>
      <c r="J117" s="53" t="b">
        <f ca="1">IFERROR(__xludf.DUMMYFUNCTION("if($G117="""",false, if(isna(match(J$2, split($G117:$G383,"", "",False),0)),false,true))"),FALSE)</f>
        <v>0</v>
      </c>
      <c r="K117" s="53" t="b">
        <f ca="1">IFERROR(__xludf.DUMMYFUNCTION("if($G117="""",false, if(isna(match(K$2, split($G117:$G383,"", "",False),0)),false,true))"),FALSE)</f>
        <v>0</v>
      </c>
      <c r="L117" s="53" t="b">
        <f ca="1">IFERROR(__xludf.DUMMYFUNCTION("if($G117="""",false, if(isna(match(L$2, split($G117:$G383,"", "",False),0)),false,true))"),FALSE)</f>
        <v>0</v>
      </c>
      <c r="M117" s="53" t="b">
        <f ca="1">IFERROR(__xludf.DUMMYFUNCTION("if($G117="""",false, if(isna(match(M$2, split($G117:$G383,"", "",False),0)),false,true))"),FALSE)</f>
        <v>0</v>
      </c>
      <c r="N117" s="53" t="b">
        <f ca="1">IFERROR(__xludf.DUMMYFUNCTION("if($G117="""",false, if(isna(match(N$2, split($G117:$G383,"", "",False),0)),false,true))"),FALSE)</f>
        <v>0</v>
      </c>
      <c r="O117" s="53" t="b">
        <f ca="1">IFERROR(__xludf.DUMMYFUNCTION("if($G117="""",false, if(isna(match(O$2, split($G117:$G383,"", "",False),0)),false,true))"),TRUE)</f>
        <v>1</v>
      </c>
      <c r="P117" s="53" t="b">
        <f ca="1">IFERROR(__xludf.DUMMYFUNCTION("if($G117="""",false, if(isna(match(P$2, split($G117:$G383,"", "",False),0)),false,true))"),FALSE)</f>
        <v>0</v>
      </c>
      <c r="Q117" s="53" t="b">
        <f ca="1">IFERROR(__xludf.DUMMYFUNCTION("if($G117="""",false, if(isna(match(Q$2, split($G117:$G383,"", "",False),0)),false,true))"),FALSE)</f>
        <v>0</v>
      </c>
      <c r="R117" s="53" t="b">
        <f ca="1">IFERROR(__xludf.DUMMYFUNCTION("if($G117="""",false, if(isna(match(R$2, split($G117:$G383,"", "",False),0)),false,true))"),FALSE)</f>
        <v>0</v>
      </c>
      <c r="S117" s="53" t="b">
        <f ca="1">IFERROR(__xludf.DUMMYFUNCTION("if($G117="""",false, if(isna(match(S$2, split($G117:$G383,"", "",False),0)),false,true))"),FALSE)</f>
        <v>0</v>
      </c>
      <c r="T117" s="53" t="b">
        <f ca="1">IFERROR(__xludf.DUMMYFUNCTION("if($G117="""",false, if(isna(match(T$2, split($G117:$G383,"", "",False),0)),false,true))"),FALSE)</f>
        <v>0</v>
      </c>
      <c r="U117" s="53" t="b">
        <f ca="1">IFERROR(__xludf.DUMMYFUNCTION("if($G117="""",false, if(isna(match(U$2, split($G117:$G383,"", "",False),0)),false,true))"),FALSE)</f>
        <v>0</v>
      </c>
      <c r="V117" s="53" t="b">
        <f ca="1">IFERROR(__xludf.DUMMYFUNCTION("if($G117="""",false, if(isna(match(V$2, split($G117:$G383,"", "",False),0)),false,true))"),FALSE)</f>
        <v>0</v>
      </c>
      <c r="W117" s="57" t="b">
        <f ca="1">IFERROR(__xludf.DUMMYFUNCTION("if($G117="""",false, if(isna(match(W$2, split($G117:$G383,"", "",False),0)),false,true))"),FALSE)</f>
        <v>0</v>
      </c>
    </row>
    <row r="118" spans="1:23" ht="126">
      <c r="A118" s="47" t="s">
        <v>405</v>
      </c>
      <c r="B118" s="48" t="s">
        <v>62</v>
      </c>
      <c r="C118" s="49" t="s">
        <v>240</v>
      </c>
      <c r="D118" s="50" t="s">
        <v>400</v>
      </c>
      <c r="E118" s="49" t="s">
        <v>401</v>
      </c>
      <c r="F118" s="51" t="s">
        <v>406</v>
      </c>
      <c r="G118" s="59" t="s">
        <v>115</v>
      </c>
      <c r="H118" s="53" t="b">
        <f ca="1">IFERROR(__xludf.DUMMYFUNCTION("if($G118="""",false, if(isna(match(H$2, split($G118:$G383,"", "",False),0)),false,true))"),FALSE)</f>
        <v>0</v>
      </c>
      <c r="I118" s="53" t="b">
        <f ca="1">IFERROR(__xludf.DUMMYFUNCTION("if($G118="""",false, if(isna(match(I$2, split($G118:$G383,"", "",False),0)),false,true))"),FALSE)</f>
        <v>0</v>
      </c>
      <c r="J118" s="53" t="b">
        <f ca="1">IFERROR(__xludf.DUMMYFUNCTION("if($G118="""",false, if(isna(match(J$2, split($G118:$G383,"", "",False),0)),false,true))"),FALSE)</f>
        <v>0</v>
      </c>
      <c r="K118" s="53" t="b">
        <f ca="1">IFERROR(__xludf.DUMMYFUNCTION("if($G118="""",false, if(isna(match(K$2, split($G118:$G383,"", "",False),0)),false,true))"),FALSE)</f>
        <v>0</v>
      </c>
      <c r="L118" s="53" t="b">
        <f ca="1">IFERROR(__xludf.DUMMYFUNCTION("if($G118="""",false, if(isna(match(L$2, split($G118:$G383,"", "",False),0)),false,true))"),FALSE)</f>
        <v>0</v>
      </c>
      <c r="M118" s="53" t="b">
        <f ca="1">IFERROR(__xludf.DUMMYFUNCTION("if($G118="""",false, if(isna(match(M$2, split($G118:$G383,"", "",False),0)),false,true))"),FALSE)</f>
        <v>0</v>
      </c>
      <c r="N118" s="53" t="b">
        <f ca="1">IFERROR(__xludf.DUMMYFUNCTION("if($G118="""",false, if(isna(match(N$2, split($G118:$G383,"", "",False),0)),false,true))"),FALSE)</f>
        <v>0</v>
      </c>
      <c r="O118" s="53" t="b">
        <f ca="1">IFERROR(__xludf.DUMMYFUNCTION("if($G118="""",false, if(isna(match(O$2, split($G118:$G383,"", "",False),0)),false,true))"),TRUE)</f>
        <v>1</v>
      </c>
      <c r="P118" s="53" t="b">
        <f ca="1">IFERROR(__xludf.DUMMYFUNCTION("if($G118="""",false, if(isna(match(P$2, split($G118:$G383,"", "",False),0)),false,true))"),FALSE)</f>
        <v>0</v>
      </c>
      <c r="Q118" s="53" t="b">
        <f ca="1">IFERROR(__xludf.DUMMYFUNCTION("if($G118="""",false, if(isna(match(Q$2, split($G118:$G383,"", "",False),0)),false,true))"),FALSE)</f>
        <v>0</v>
      </c>
      <c r="R118" s="53" t="b">
        <f ca="1">IFERROR(__xludf.DUMMYFUNCTION("if($G118="""",false, if(isna(match(R$2, split($G118:$G383,"", "",False),0)),false,true))"),FALSE)</f>
        <v>0</v>
      </c>
      <c r="S118" s="53" t="b">
        <f ca="1">IFERROR(__xludf.DUMMYFUNCTION("if($G118="""",false, if(isna(match(S$2, split($G118:$G383,"", "",False),0)),false,true))"),FALSE)</f>
        <v>0</v>
      </c>
      <c r="T118" s="53" t="b">
        <f ca="1">IFERROR(__xludf.DUMMYFUNCTION("if($G118="""",false, if(isna(match(T$2, split($G118:$G383,"", "",False),0)),false,true))"),FALSE)</f>
        <v>0</v>
      </c>
      <c r="U118" s="53" t="b">
        <f ca="1">IFERROR(__xludf.DUMMYFUNCTION("if($G118="""",false, if(isna(match(U$2, split($G118:$G383,"", "",False),0)),false,true))"),FALSE)</f>
        <v>0</v>
      </c>
      <c r="V118" s="53" t="b">
        <f ca="1">IFERROR(__xludf.DUMMYFUNCTION("if($G118="""",false, if(isna(match(V$2, split($G118:$G383,"", "",False),0)),false,true))"),FALSE)</f>
        <v>0</v>
      </c>
      <c r="W118" s="57" t="b">
        <f ca="1">IFERROR(__xludf.DUMMYFUNCTION("if($G118="""",false, if(isna(match(W$2, split($G118:$G383,"", "",False),0)),false,true))"),FALSE)</f>
        <v>0</v>
      </c>
    </row>
    <row r="119" spans="1:23" ht="84">
      <c r="A119" s="47" t="s">
        <v>407</v>
      </c>
      <c r="B119" s="48" t="s">
        <v>62</v>
      </c>
      <c r="C119" s="49" t="s">
        <v>240</v>
      </c>
      <c r="D119" s="50" t="s">
        <v>400</v>
      </c>
      <c r="E119" s="49" t="s">
        <v>408</v>
      </c>
      <c r="F119" s="51" t="s">
        <v>409</v>
      </c>
      <c r="G119" s="59" t="s">
        <v>115</v>
      </c>
      <c r="H119" s="53" t="b">
        <f ca="1">IFERROR(__xludf.DUMMYFUNCTION("if($G119="""",false, if(isna(match(H$2, split($G119:$G383,"", "",False),0)),false,true))"),FALSE)</f>
        <v>0</v>
      </c>
      <c r="I119" s="53" t="b">
        <f ca="1">IFERROR(__xludf.DUMMYFUNCTION("if($G119="""",false, if(isna(match(I$2, split($G119:$G383,"", "",False),0)),false,true))"),FALSE)</f>
        <v>0</v>
      </c>
      <c r="J119" s="53" t="b">
        <f ca="1">IFERROR(__xludf.DUMMYFUNCTION("if($G119="""",false, if(isna(match(J$2, split($G119:$G383,"", "",False),0)),false,true))"),FALSE)</f>
        <v>0</v>
      </c>
      <c r="K119" s="53" t="b">
        <f ca="1">IFERROR(__xludf.DUMMYFUNCTION("if($G119="""",false, if(isna(match(K$2, split($G119:$G383,"", "",False),0)),false,true))"),FALSE)</f>
        <v>0</v>
      </c>
      <c r="L119" s="53" t="b">
        <f ca="1">IFERROR(__xludf.DUMMYFUNCTION("if($G119="""",false, if(isna(match(L$2, split($G119:$G383,"", "",False),0)),false,true))"),FALSE)</f>
        <v>0</v>
      </c>
      <c r="M119" s="53" t="b">
        <f ca="1">IFERROR(__xludf.DUMMYFUNCTION("if($G119="""",false, if(isna(match(M$2, split($G119:$G383,"", "",False),0)),false,true))"),FALSE)</f>
        <v>0</v>
      </c>
      <c r="N119" s="53" t="b">
        <f ca="1">IFERROR(__xludf.DUMMYFUNCTION("if($G119="""",false, if(isna(match(N$2, split($G119:$G383,"", "",False),0)),false,true))"),FALSE)</f>
        <v>0</v>
      </c>
      <c r="O119" s="53" t="b">
        <f ca="1">IFERROR(__xludf.DUMMYFUNCTION("if($G119="""",false, if(isna(match(O$2, split($G119:$G383,"", "",False),0)),false,true))"),TRUE)</f>
        <v>1</v>
      </c>
      <c r="P119" s="53" t="b">
        <f ca="1">IFERROR(__xludf.DUMMYFUNCTION("if($G119="""",false, if(isna(match(P$2, split($G119:$G383,"", "",False),0)),false,true))"),FALSE)</f>
        <v>0</v>
      </c>
      <c r="Q119" s="53" t="b">
        <f ca="1">IFERROR(__xludf.DUMMYFUNCTION("if($G119="""",false, if(isna(match(Q$2, split($G119:$G383,"", "",False),0)),false,true))"),FALSE)</f>
        <v>0</v>
      </c>
      <c r="R119" s="53" t="b">
        <f ca="1">IFERROR(__xludf.DUMMYFUNCTION("if($G119="""",false, if(isna(match(R$2, split($G119:$G383,"", "",False),0)),false,true))"),FALSE)</f>
        <v>0</v>
      </c>
      <c r="S119" s="53" t="b">
        <f ca="1">IFERROR(__xludf.DUMMYFUNCTION("if($G119="""",false, if(isna(match(S$2, split($G119:$G383,"", "",False),0)),false,true))"),FALSE)</f>
        <v>0</v>
      </c>
      <c r="T119" s="53" t="b">
        <f ca="1">IFERROR(__xludf.DUMMYFUNCTION("if($G119="""",false, if(isna(match(T$2, split($G119:$G383,"", "",False),0)),false,true))"),FALSE)</f>
        <v>0</v>
      </c>
      <c r="U119" s="53" t="b">
        <f ca="1">IFERROR(__xludf.DUMMYFUNCTION("if($G119="""",false, if(isna(match(U$2, split($G119:$G383,"", "",False),0)),false,true))"),FALSE)</f>
        <v>0</v>
      </c>
      <c r="V119" s="53" t="b">
        <f ca="1">IFERROR(__xludf.DUMMYFUNCTION("if($G119="""",false, if(isna(match(V$2, split($G119:$G383,"", "",False),0)),false,true))"),FALSE)</f>
        <v>0</v>
      </c>
      <c r="W119" s="57" t="b">
        <f ca="1">IFERROR(__xludf.DUMMYFUNCTION("if($G119="""",false, if(isna(match(W$2, split($G119:$G383,"", "",False),0)),false,true))"),FALSE)</f>
        <v>0</v>
      </c>
    </row>
    <row r="120" spans="1:23" ht="84">
      <c r="A120" s="47" t="s">
        <v>410</v>
      </c>
      <c r="B120" s="48" t="s">
        <v>62</v>
      </c>
      <c r="C120" s="49" t="s">
        <v>240</v>
      </c>
      <c r="D120" s="50" t="s">
        <v>400</v>
      </c>
      <c r="E120" s="49" t="s">
        <v>408</v>
      </c>
      <c r="F120" s="51" t="s">
        <v>411</v>
      </c>
      <c r="G120" s="59" t="s">
        <v>412</v>
      </c>
      <c r="H120" s="53" t="b">
        <f ca="1">IFERROR(__xludf.DUMMYFUNCTION("if($G120="""",false, if(isna(match(H$2, split($G120:$G383,"", "",False),0)),false,true))"),FALSE)</f>
        <v>0</v>
      </c>
      <c r="I120" s="53" t="b">
        <f ca="1">IFERROR(__xludf.DUMMYFUNCTION("if($G120="""",false, if(isna(match(I$2, split($G120:$G383,"", "",False),0)),false,true))"),FALSE)</f>
        <v>0</v>
      </c>
      <c r="J120" s="53" t="b">
        <f ca="1">IFERROR(__xludf.DUMMYFUNCTION("if($G120="""",false, if(isna(match(J$2, split($G120:$G383,"", "",False),0)),false,true))"),FALSE)</f>
        <v>0</v>
      </c>
      <c r="K120" s="53" t="b">
        <f ca="1">IFERROR(__xludf.DUMMYFUNCTION("if($G120="""",false, if(isna(match(K$2, split($G120:$G383,"", "",False),0)),false,true))"),FALSE)</f>
        <v>0</v>
      </c>
      <c r="L120" s="53" t="b">
        <f ca="1">IFERROR(__xludf.DUMMYFUNCTION("if($G120="""",false, if(isna(match(L$2, split($G120:$G383,"", "",False),0)),false,true))"),FALSE)</f>
        <v>0</v>
      </c>
      <c r="M120" s="53" t="b">
        <f ca="1">IFERROR(__xludf.DUMMYFUNCTION("if($G120="""",false, if(isna(match(M$2, split($G120:$G383,"", "",False),0)),false,true))"),FALSE)</f>
        <v>0</v>
      </c>
      <c r="N120" s="53" t="b">
        <f ca="1">IFERROR(__xludf.DUMMYFUNCTION("if($G120="""",false, if(isna(match(N$2, split($G120:$G383,"", "",False),0)),false,true))"),FALSE)</f>
        <v>0</v>
      </c>
      <c r="O120" s="53" t="b">
        <f ca="1">IFERROR(__xludf.DUMMYFUNCTION("if($G120="""",false, if(isna(match(O$2, split($G120:$G383,"", "",False),0)),false,true))"),TRUE)</f>
        <v>1</v>
      </c>
      <c r="P120" s="53" t="b">
        <f ca="1">IFERROR(__xludf.DUMMYFUNCTION("if($G120="""",false, if(isna(match(P$2, split($G120:$G383,"", "",False),0)),false,true))"),FALSE)</f>
        <v>0</v>
      </c>
      <c r="Q120" s="53" t="b">
        <f ca="1">IFERROR(__xludf.DUMMYFUNCTION("if($G120="""",false, if(isna(match(Q$2, split($G120:$G383,"", "",False),0)),false,true))"),FALSE)</f>
        <v>0</v>
      </c>
      <c r="R120" s="53" t="b">
        <f ca="1">IFERROR(__xludf.DUMMYFUNCTION("if($G120="""",false, if(isna(match(R$2, split($G120:$G383,"", "",False),0)),false,true))"),FALSE)</f>
        <v>0</v>
      </c>
      <c r="S120" s="53" t="b">
        <f ca="1">IFERROR(__xludf.DUMMYFUNCTION("if($G120="""",false, if(isna(match(S$2, split($G120:$G383,"", "",False),0)),false,true))"),TRUE)</f>
        <v>1</v>
      </c>
      <c r="T120" s="53" t="b">
        <f ca="1">IFERROR(__xludf.DUMMYFUNCTION("if($G120="""",false, if(isna(match(T$2, split($G120:$G383,"", "",False),0)),false,true))"),FALSE)</f>
        <v>0</v>
      </c>
      <c r="U120" s="53" t="b">
        <f ca="1">IFERROR(__xludf.DUMMYFUNCTION("if($G120="""",false, if(isna(match(U$2, split($G120:$G383,"", "",False),0)),false,true))"),FALSE)</f>
        <v>0</v>
      </c>
      <c r="V120" s="53" t="b">
        <f ca="1">IFERROR(__xludf.DUMMYFUNCTION("if($G120="""",false, if(isna(match(V$2, split($G120:$G383,"", "",False),0)),false,true))"),FALSE)</f>
        <v>0</v>
      </c>
      <c r="W120" s="57" t="b">
        <f ca="1">IFERROR(__xludf.DUMMYFUNCTION("if($G120="""",false, if(isna(match(W$2, split($G120:$G383,"", "",False),0)),false,true))"),FALSE)</f>
        <v>0</v>
      </c>
    </row>
    <row r="121" spans="1:23" ht="126">
      <c r="A121" s="47" t="s">
        <v>413</v>
      </c>
      <c r="B121" s="48" t="s">
        <v>62</v>
      </c>
      <c r="C121" s="49" t="s">
        <v>240</v>
      </c>
      <c r="D121" s="50" t="s">
        <v>400</v>
      </c>
      <c r="E121" s="49" t="s">
        <v>408</v>
      </c>
      <c r="F121" s="51" t="s">
        <v>414</v>
      </c>
      <c r="G121" s="59" t="s">
        <v>412</v>
      </c>
      <c r="H121" s="53" t="b">
        <f ca="1">IFERROR(__xludf.DUMMYFUNCTION("if($G121="""",false, if(isna(match(H$2, split($G121:$G383,"", "",False),0)),false,true))"),FALSE)</f>
        <v>0</v>
      </c>
      <c r="I121" s="53" t="b">
        <f ca="1">IFERROR(__xludf.DUMMYFUNCTION("if($G121="""",false, if(isna(match(I$2, split($G121:$G383,"", "",False),0)),false,true))"),FALSE)</f>
        <v>0</v>
      </c>
      <c r="J121" s="53" t="b">
        <f ca="1">IFERROR(__xludf.DUMMYFUNCTION("if($G121="""",false, if(isna(match(J$2, split($G121:$G383,"", "",False),0)),false,true))"),FALSE)</f>
        <v>0</v>
      </c>
      <c r="K121" s="53" t="b">
        <f ca="1">IFERROR(__xludf.DUMMYFUNCTION("if($G121="""",false, if(isna(match(K$2, split($G121:$G383,"", "",False),0)),false,true))"),FALSE)</f>
        <v>0</v>
      </c>
      <c r="L121" s="53" t="b">
        <f ca="1">IFERROR(__xludf.DUMMYFUNCTION("if($G121="""",false, if(isna(match(L$2, split($G121:$G383,"", "",False),0)),false,true))"),FALSE)</f>
        <v>0</v>
      </c>
      <c r="M121" s="53" t="b">
        <f ca="1">IFERROR(__xludf.DUMMYFUNCTION("if($G121="""",false, if(isna(match(M$2, split($G121:$G383,"", "",False),0)),false,true))"),FALSE)</f>
        <v>0</v>
      </c>
      <c r="N121" s="53" t="b">
        <f ca="1">IFERROR(__xludf.DUMMYFUNCTION("if($G121="""",false, if(isna(match(N$2, split($G121:$G383,"", "",False),0)),false,true))"),FALSE)</f>
        <v>0</v>
      </c>
      <c r="O121" s="53" t="b">
        <f ca="1">IFERROR(__xludf.DUMMYFUNCTION("if($G121="""",false, if(isna(match(O$2, split($G121:$G383,"", "",False),0)),false,true))"),TRUE)</f>
        <v>1</v>
      </c>
      <c r="P121" s="53" t="b">
        <f ca="1">IFERROR(__xludf.DUMMYFUNCTION("if($G121="""",false, if(isna(match(P$2, split($G121:$G383,"", "",False),0)),false,true))"),FALSE)</f>
        <v>0</v>
      </c>
      <c r="Q121" s="53" t="b">
        <f ca="1">IFERROR(__xludf.DUMMYFUNCTION("if($G121="""",false, if(isna(match(Q$2, split($G121:$G383,"", "",False),0)),false,true))"),FALSE)</f>
        <v>0</v>
      </c>
      <c r="R121" s="53" t="b">
        <f ca="1">IFERROR(__xludf.DUMMYFUNCTION("if($G121="""",false, if(isna(match(R$2, split($G121:$G383,"", "",False),0)),false,true))"),FALSE)</f>
        <v>0</v>
      </c>
      <c r="S121" s="53" t="b">
        <f ca="1">IFERROR(__xludf.DUMMYFUNCTION("if($G121="""",false, if(isna(match(S$2, split($G121:$G383,"", "",False),0)),false,true))"),TRUE)</f>
        <v>1</v>
      </c>
      <c r="T121" s="53" t="b">
        <f ca="1">IFERROR(__xludf.DUMMYFUNCTION("if($G121="""",false, if(isna(match(T$2, split($G121:$G383,"", "",False),0)),false,true))"),FALSE)</f>
        <v>0</v>
      </c>
      <c r="U121" s="53" t="b">
        <f ca="1">IFERROR(__xludf.DUMMYFUNCTION("if($G121="""",false, if(isna(match(U$2, split($G121:$G383,"", "",False),0)),false,true))"),FALSE)</f>
        <v>0</v>
      </c>
      <c r="V121" s="53" t="b">
        <f ca="1">IFERROR(__xludf.DUMMYFUNCTION("if($G121="""",false, if(isna(match(V$2, split($G121:$G383,"", "",False),0)),false,true))"),FALSE)</f>
        <v>0</v>
      </c>
      <c r="W121" s="57" t="b">
        <f ca="1">IFERROR(__xludf.DUMMYFUNCTION("if($G121="""",false, if(isna(match(W$2, split($G121:$G383,"", "",False),0)),false,true))"),FALSE)</f>
        <v>0</v>
      </c>
    </row>
    <row r="122" spans="1:23" ht="56">
      <c r="A122" s="47" t="s">
        <v>415</v>
      </c>
      <c r="B122" s="48" t="s">
        <v>62</v>
      </c>
      <c r="C122" s="49" t="s">
        <v>240</v>
      </c>
      <c r="D122" s="50" t="s">
        <v>400</v>
      </c>
      <c r="E122" s="49" t="s">
        <v>408</v>
      </c>
      <c r="F122" s="51" t="s">
        <v>416</v>
      </c>
      <c r="G122" s="59" t="s">
        <v>417</v>
      </c>
      <c r="H122" s="53" t="b">
        <f ca="1">IFERROR(__xludf.DUMMYFUNCTION("if($G122="""",false, if(isna(match(H$2, split($G122:$G383,"", "",False),0)),false,true))"),FALSE)</f>
        <v>0</v>
      </c>
      <c r="I122" s="53" t="b">
        <f ca="1">IFERROR(__xludf.DUMMYFUNCTION("if($G122="""",false, if(isna(match(I$2, split($G122:$G383,"", "",False),0)),false,true))"),FALSE)</f>
        <v>0</v>
      </c>
      <c r="J122" s="53" t="b">
        <f ca="1">IFERROR(__xludf.DUMMYFUNCTION("if($G122="""",false, if(isna(match(J$2, split($G122:$G383,"", "",False),0)),false,true))"),FALSE)</f>
        <v>0</v>
      </c>
      <c r="K122" s="53" t="b">
        <f ca="1">IFERROR(__xludf.DUMMYFUNCTION("if($G122="""",false, if(isna(match(K$2, split($G122:$G383,"", "",False),0)),false,true))"),FALSE)</f>
        <v>0</v>
      </c>
      <c r="L122" s="53" t="b">
        <f ca="1">IFERROR(__xludf.DUMMYFUNCTION("if($G122="""",false, if(isna(match(L$2, split($G122:$G383,"", "",False),0)),false,true))"),TRUE)</f>
        <v>1</v>
      </c>
      <c r="M122" s="53" t="b">
        <f ca="1">IFERROR(__xludf.DUMMYFUNCTION("if($G122="""",false, if(isna(match(M$2, split($G122:$G383,"", "",False),0)),false,true))"),FALSE)</f>
        <v>0</v>
      </c>
      <c r="N122" s="53" t="b">
        <f ca="1">IFERROR(__xludf.DUMMYFUNCTION("if($G122="""",false, if(isna(match(N$2, split($G122:$G383,"", "",False),0)),false,true))"),FALSE)</f>
        <v>0</v>
      </c>
      <c r="O122" s="53" t="b">
        <f ca="1">IFERROR(__xludf.DUMMYFUNCTION("if($G122="""",false, if(isna(match(O$2, split($G122:$G383,"", "",False),0)),false,true))"),FALSE)</f>
        <v>0</v>
      </c>
      <c r="P122" s="53" t="b">
        <f ca="1">IFERROR(__xludf.DUMMYFUNCTION("if($G122="""",false, if(isna(match(P$2, split($G122:$G383,"", "",False),0)),false,true))"),FALSE)</f>
        <v>0</v>
      </c>
      <c r="Q122" s="53" t="b">
        <f ca="1">IFERROR(__xludf.DUMMYFUNCTION("if($G122="""",false, if(isna(match(Q$2, split($G122:$G383,"", "",False),0)),false,true))"),FALSE)</f>
        <v>0</v>
      </c>
      <c r="R122" s="53" t="b">
        <f ca="1">IFERROR(__xludf.DUMMYFUNCTION("if($G122="""",false, if(isna(match(R$2, split($G122:$G383,"", "",False),0)),false,true))"),FALSE)</f>
        <v>0</v>
      </c>
      <c r="S122" s="53" t="b">
        <f ca="1">IFERROR(__xludf.DUMMYFUNCTION("if($G122="""",false, if(isna(match(S$2, split($G122:$G383,"", "",False),0)),false,true))"),FALSE)</f>
        <v>0</v>
      </c>
      <c r="T122" s="53" t="b">
        <f ca="1">IFERROR(__xludf.DUMMYFUNCTION("if($G122="""",false, if(isna(match(T$2, split($G122:$G383,"", "",False),0)),false,true))"),FALSE)</f>
        <v>0</v>
      </c>
      <c r="U122" s="53" t="b">
        <f ca="1">IFERROR(__xludf.DUMMYFUNCTION("if($G122="""",false, if(isna(match(U$2, split($G122:$G383,"", "",False),0)),false,true))"),FALSE)</f>
        <v>0</v>
      </c>
      <c r="V122" s="53" t="b">
        <f ca="1">IFERROR(__xludf.DUMMYFUNCTION("if($G122="""",false, if(isna(match(V$2, split($G122:$G383,"", "",False),0)),false,true))"),FALSE)</f>
        <v>0</v>
      </c>
      <c r="W122" s="57" t="b">
        <f ca="1">IFERROR(__xludf.DUMMYFUNCTION("if($G122="""",false, if(isna(match(W$2, split($G122:$G383,"", "",False),0)),false,true))"),FALSE)</f>
        <v>0</v>
      </c>
    </row>
    <row r="123" spans="1:23" ht="56">
      <c r="A123" s="47" t="s">
        <v>418</v>
      </c>
      <c r="B123" s="48" t="s">
        <v>64</v>
      </c>
      <c r="C123" s="49" t="s">
        <v>419</v>
      </c>
      <c r="D123" s="50" t="s">
        <v>420</v>
      </c>
      <c r="E123" s="49" t="s">
        <v>421</v>
      </c>
      <c r="F123" s="51" t="s">
        <v>422</v>
      </c>
      <c r="G123" s="59" t="s">
        <v>108</v>
      </c>
      <c r="H123" s="53" t="b">
        <f ca="1">IFERROR(__xludf.DUMMYFUNCTION("if($G123="""",false, if(isna(match(H$2, split($G123:$G383,"", "",False),0)),false,true))"),TRUE)</f>
        <v>1</v>
      </c>
      <c r="I123" s="53" t="b">
        <f ca="1">IFERROR(__xludf.DUMMYFUNCTION("if($G123="""",false, if(isna(match(I$2, split($G123:$G383,"", "",False),0)),false,true))"),FALSE)</f>
        <v>0</v>
      </c>
      <c r="J123" s="53" t="b">
        <f ca="1">IFERROR(__xludf.DUMMYFUNCTION("if($G123="""",false, if(isna(match(J$2, split($G123:$G383,"", "",False),0)),false,true))"),FALSE)</f>
        <v>0</v>
      </c>
      <c r="K123" s="53" t="b">
        <f ca="1">IFERROR(__xludf.DUMMYFUNCTION("if($G123="""",false, if(isna(match(K$2, split($G123:$G383,"", "",False),0)),false,true))"),FALSE)</f>
        <v>0</v>
      </c>
      <c r="L123" s="53" t="b">
        <f ca="1">IFERROR(__xludf.DUMMYFUNCTION("if($G123="""",false, if(isna(match(L$2, split($G123:$G383,"", "",False),0)),false,true))"),FALSE)</f>
        <v>0</v>
      </c>
      <c r="M123" s="53" t="b">
        <f ca="1">IFERROR(__xludf.DUMMYFUNCTION("if($G123="""",false, if(isna(match(M$2, split($G123:$G383,"", "",False),0)),false,true))"),FALSE)</f>
        <v>0</v>
      </c>
      <c r="N123" s="53" t="b">
        <f ca="1">IFERROR(__xludf.DUMMYFUNCTION("if($G123="""",false, if(isna(match(N$2, split($G123:$G383,"", "",False),0)),false,true))"),FALSE)</f>
        <v>0</v>
      </c>
      <c r="O123" s="53" t="b">
        <f ca="1">IFERROR(__xludf.DUMMYFUNCTION("if($G123="""",false, if(isna(match(O$2, split($G123:$G383,"", "",False),0)),false,true))"),FALSE)</f>
        <v>0</v>
      </c>
      <c r="P123" s="53" t="b">
        <f ca="1">IFERROR(__xludf.DUMMYFUNCTION("if($G123="""",false, if(isna(match(P$2, split($G123:$G383,"", "",False),0)),false,true))"),FALSE)</f>
        <v>0</v>
      </c>
      <c r="Q123" s="53" t="b">
        <f ca="1">IFERROR(__xludf.DUMMYFUNCTION("if($G123="""",false, if(isna(match(Q$2, split($G123:$G383,"", "",False),0)),false,true))"),FALSE)</f>
        <v>0</v>
      </c>
      <c r="R123" s="53" t="b">
        <f ca="1">IFERROR(__xludf.DUMMYFUNCTION("if($G123="""",false, if(isna(match(R$2, split($G123:$G383,"", "",False),0)),false,true))"),FALSE)</f>
        <v>0</v>
      </c>
      <c r="S123" s="53" t="b">
        <f ca="1">IFERROR(__xludf.DUMMYFUNCTION("if($G123="""",false, if(isna(match(S$2, split($G123:$G383,"", "",False),0)),false,true))"),FALSE)</f>
        <v>0</v>
      </c>
      <c r="T123" s="53" t="b">
        <f ca="1">IFERROR(__xludf.DUMMYFUNCTION("if($G123="""",false, if(isna(match(T$2, split($G123:$G383,"", "",False),0)),false,true))"),FALSE)</f>
        <v>0</v>
      </c>
      <c r="U123" s="53" t="b">
        <f ca="1">IFERROR(__xludf.DUMMYFUNCTION("if($G123="""",false, if(isna(match(U$2, split($G123:$G383,"", "",False),0)),false,true))"),FALSE)</f>
        <v>0</v>
      </c>
      <c r="V123" s="53" t="b">
        <f ca="1">IFERROR(__xludf.DUMMYFUNCTION("if($G123="""",false, if(isna(match(V$2, split($G123:$G383,"", "",False),0)),false,true))"),FALSE)</f>
        <v>0</v>
      </c>
      <c r="W123" s="57" t="b">
        <f ca="1">IFERROR(__xludf.DUMMYFUNCTION("if($G123="""",false, if(isna(match(W$2, split($G123:$G383,"", "",False),0)),false,true))"),FALSE)</f>
        <v>0</v>
      </c>
    </row>
    <row r="124" spans="1:23" ht="14">
      <c r="A124" s="47" t="s">
        <v>423</v>
      </c>
      <c r="B124" s="48" t="s">
        <v>64</v>
      </c>
      <c r="C124" s="49" t="s">
        <v>419</v>
      </c>
      <c r="D124" s="50" t="s">
        <v>420</v>
      </c>
      <c r="E124" s="49" t="s">
        <v>421</v>
      </c>
      <c r="F124" s="51" t="s">
        <v>424</v>
      </c>
      <c r="G124" s="59" t="s">
        <v>119</v>
      </c>
      <c r="H124" s="53" t="b">
        <f ca="1">IFERROR(__xludf.DUMMYFUNCTION("if($G124="""",false, if(isna(match(H$2, split($G124:$G383,"", "",False),0)),false,true))"),FALSE)</f>
        <v>0</v>
      </c>
      <c r="I124" s="53" t="b">
        <f ca="1">IFERROR(__xludf.DUMMYFUNCTION("if($G124="""",false, if(isna(match(I$2, split($G124:$G383,"", "",False),0)),false,true))"),FALSE)</f>
        <v>0</v>
      </c>
      <c r="J124" s="53" t="b">
        <f ca="1">IFERROR(__xludf.DUMMYFUNCTION("if($G124="""",false, if(isna(match(J$2, split($G124:$G383,"", "",False),0)),false,true))"),FALSE)</f>
        <v>0</v>
      </c>
      <c r="K124" s="53" t="b">
        <f ca="1">IFERROR(__xludf.DUMMYFUNCTION("if($G124="""",false, if(isna(match(K$2, split($G124:$G383,"", "",False),0)),false,true))"),FALSE)</f>
        <v>0</v>
      </c>
      <c r="L124" s="53" t="b">
        <f ca="1">IFERROR(__xludf.DUMMYFUNCTION("if($G124="""",false, if(isna(match(L$2, split($G124:$G383,"", "",False),0)),false,true))"),FALSE)</f>
        <v>0</v>
      </c>
      <c r="M124" s="53" t="b">
        <f ca="1">IFERROR(__xludf.DUMMYFUNCTION("if($G124="""",false, if(isna(match(M$2, split($G124:$G383,"", "",False),0)),false,true))"),FALSE)</f>
        <v>0</v>
      </c>
      <c r="N124" s="53" t="b">
        <f ca="1">IFERROR(__xludf.DUMMYFUNCTION("if($G124="""",false, if(isna(match(N$2, split($G124:$G383,"", "",False),0)),false,true))"),FALSE)</f>
        <v>0</v>
      </c>
      <c r="O124" s="53" t="b">
        <f ca="1">IFERROR(__xludf.DUMMYFUNCTION("if($G124="""",false, if(isna(match(O$2, split($G124:$G383,"", "",False),0)),false,true))"),FALSE)</f>
        <v>0</v>
      </c>
      <c r="P124" s="53" t="b">
        <f ca="1">IFERROR(__xludf.DUMMYFUNCTION("if($G124="""",false, if(isna(match(P$2, split($G124:$G383,"", "",False),0)),false,true))"),FALSE)</f>
        <v>0</v>
      </c>
      <c r="Q124" s="53" t="b">
        <f ca="1">IFERROR(__xludf.DUMMYFUNCTION("if($G124="""",false, if(isna(match(Q$2, split($G124:$G383,"", "",False),0)),false,true))"),FALSE)</f>
        <v>0</v>
      </c>
      <c r="R124" s="53" t="b">
        <f ca="1">IFERROR(__xludf.DUMMYFUNCTION("if($G124="""",false, if(isna(match(R$2, split($G124:$G383,"", "",False),0)),false,true))"),FALSE)</f>
        <v>0</v>
      </c>
      <c r="S124" s="53" t="b">
        <f ca="1">IFERROR(__xludf.DUMMYFUNCTION("if($G124="""",false, if(isna(match(S$2, split($G124:$G383,"", "",False),0)),false,true))"),TRUE)</f>
        <v>1</v>
      </c>
      <c r="T124" s="53" t="b">
        <f ca="1">IFERROR(__xludf.DUMMYFUNCTION("if($G124="""",false, if(isna(match(T$2, split($G124:$G383,"", "",False),0)),false,true))"),FALSE)</f>
        <v>0</v>
      </c>
      <c r="U124" s="53" t="b">
        <f ca="1">IFERROR(__xludf.DUMMYFUNCTION("if($G124="""",false, if(isna(match(U$2, split($G124:$G383,"", "",False),0)),false,true))"),FALSE)</f>
        <v>0</v>
      </c>
      <c r="V124" s="53" t="b">
        <f ca="1">IFERROR(__xludf.DUMMYFUNCTION("if($G124="""",false, if(isna(match(V$2, split($G124:$G383,"", "",False),0)),false,true))"),FALSE)</f>
        <v>0</v>
      </c>
      <c r="W124" s="57" t="b">
        <f ca="1">IFERROR(__xludf.DUMMYFUNCTION("if($G124="""",false, if(isna(match(W$2, split($G124:$G383,"", "",False),0)),false,true))"),FALSE)</f>
        <v>0</v>
      </c>
    </row>
    <row r="125" spans="1:23" ht="98">
      <c r="A125" s="47" t="s">
        <v>425</v>
      </c>
      <c r="B125" s="48" t="s">
        <v>64</v>
      </c>
      <c r="C125" s="49" t="s">
        <v>419</v>
      </c>
      <c r="D125" s="50" t="s">
        <v>420</v>
      </c>
      <c r="E125" s="49" t="s">
        <v>25</v>
      </c>
      <c r="F125" s="51" t="s">
        <v>426</v>
      </c>
      <c r="G125" s="59" t="s">
        <v>427</v>
      </c>
      <c r="H125" s="53" t="b">
        <f ca="1">IFERROR(__xludf.DUMMYFUNCTION("if($G125="""",false, if(isna(match(H$2, split($G125:$G383,"", "",False),0)),false,true))"),TRUE)</f>
        <v>1</v>
      </c>
      <c r="I125" s="53" t="b">
        <f ca="1">IFERROR(__xludf.DUMMYFUNCTION("if($G125="""",false, if(isna(match(I$2, split($G125:$G383,"", "",False),0)),false,true))"),FALSE)</f>
        <v>0</v>
      </c>
      <c r="J125" s="53" t="b">
        <f ca="1">IFERROR(__xludf.DUMMYFUNCTION("if($G125="""",false, if(isna(match(J$2, split($G125:$G383,"", "",False),0)),false,true))"),FALSE)</f>
        <v>0</v>
      </c>
      <c r="K125" s="53" t="b">
        <f ca="1">IFERROR(__xludf.DUMMYFUNCTION("if($G125="""",false, if(isna(match(K$2, split($G125:$G383,"", "",False),0)),false,true))"),FALSE)</f>
        <v>0</v>
      </c>
      <c r="L125" s="53" t="b">
        <f ca="1">IFERROR(__xludf.DUMMYFUNCTION("if($G125="""",false, if(isna(match(L$2, split($G125:$G383,"", "",False),0)),false,true))"),FALSE)</f>
        <v>0</v>
      </c>
      <c r="M125" s="53" t="b">
        <f ca="1">IFERROR(__xludf.DUMMYFUNCTION("if($G125="""",false, if(isna(match(M$2, split($G125:$G383,"", "",False),0)),false,true))"),FALSE)</f>
        <v>0</v>
      </c>
      <c r="N125" s="53" t="b">
        <f ca="1">IFERROR(__xludf.DUMMYFUNCTION("if($G125="""",false, if(isna(match(N$2, split($G125:$G383,"", "",False),0)),false,true))"),FALSE)</f>
        <v>0</v>
      </c>
      <c r="O125" s="53" t="b">
        <f ca="1">IFERROR(__xludf.DUMMYFUNCTION("if($G125="""",false, if(isna(match(O$2, split($G125:$G383,"", "",False),0)),false,true))"),FALSE)</f>
        <v>0</v>
      </c>
      <c r="P125" s="53" t="b">
        <f ca="1">IFERROR(__xludf.DUMMYFUNCTION("if($G125="""",false, if(isna(match(P$2, split($G125:$G383,"", "",False),0)),false,true))"),FALSE)</f>
        <v>0</v>
      </c>
      <c r="Q125" s="53" t="b">
        <f ca="1">IFERROR(__xludf.DUMMYFUNCTION("if($G125="""",false, if(isna(match(Q$2, split($G125:$G383,"", "",False),0)),false,true))"),FALSE)</f>
        <v>0</v>
      </c>
      <c r="R125" s="53" t="b">
        <f ca="1">IFERROR(__xludf.DUMMYFUNCTION("if($G125="""",false, if(isna(match(R$2, split($G125:$G383,"", "",False),0)),false,true))"),FALSE)</f>
        <v>0</v>
      </c>
      <c r="S125" s="53" t="b">
        <f ca="1">IFERROR(__xludf.DUMMYFUNCTION("if($G125="""",false, if(isna(match(S$2, split($G125:$G383,"", "",False),0)),false,true))"),FALSE)</f>
        <v>0</v>
      </c>
      <c r="T125" s="53" t="b">
        <f ca="1">IFERROR(__xludf.DUMMYFUNCTION("if($G125="""",false, if(isna(match(T$2, split($G125:$G383,"", "",False),0)),false,true))"),FALSE)</f>
        <v>0</v>
      </c>
      <c r="U125" s="53" t="b">
        <f ca="1">IFERROR(__xludf.DUMMYFUNCTION("if($G125="""",false, if(isna(match(U$2, split($G125:$G383,"", "",False),0)),false,true))"),FALSE)</f>
        <v>0</v>
      </c>
      <c r="V125" s="53" t="b">
        <f ca="1">IFERROR(__xludf.DUMMYFUNCTION("if($G125="""",false, if(isna(match(V$2, split($G125:$G383,"", "",False),0)),false,true))"),FALSE)</f>
        <v>0</v>
      </c>
      <c r="W125" s="57" t="b">
        <f ca="1">IFERROR(__xludf.DUMMYFUNCTION("if($G125="""",false, if(isna(match(W$2, split($G125:$G383,"", "",False),0)),false,true))"),FALSE)</f>
        <v>0</v>
      </c>
    </row>
    <row r="126" spans="1:23" ht="56">
      <c r="A126" s="47" t="s">
        <v>428</v>
      </c>
      <c r="B126" s="48" t="s">
        <v>64</v>
      </c>
      <c r="C126" s="49" t="s">
        <v>419</v>
      </c>
      <c r="D126" s="50" t="s">
        <v>420</v>
      </c>
      <c r="E126" s="49" t="s">
        <v>25</v>
      </c>
      <c r="F126" s="51" t="s">
        <v>429</v>
      </c>
      <c r="G126" s="59" t="s">
        <v>430</v>
      </c>
      <c r="H126" s="53" t="b">
        <f ca="1">IFERROR(__xludf.DUMMYFUNCTION("if($G126="""",false, if(isna(match(H$2, split($G126:$G383,"", "",False),0)),false,true))"),FALSE)</f>
        <v>0</v>
      </c>
      <c r="I126" s="53" t="b">
        <f ca="1">IFERROR(__xludf.DUMMYFUNCTION("if($G126="""",false, if(isna(match(I$2, split($G126:$G383,"", "",False),0)),false,true))"),FALSE)</f>
        <v>0</v>
      </c>
      <c r="J126" s="53" t="b">
        <f ca="1">IFERROR(__xludf.DUMMYFUNCTION("if($G126="""",false, if(isna(match(J$2, split($G126:$G383,"", "",False),0)),false,true))"),FALSE)</f>
        <v>0</v>
      </c>
      <c r="K126" s="53" t="b">
        <f ca="1">IFERROR(__xludf.DUMMYFUNCTION("if($G126="""",false, if(isna(match(K$2, split($G126:$G383,"", "",False),0)),false,true))"),FALSE)</f>
        <v>0</v>
      </c>
      <c r="L126" s="53" t="b">
        <f ca="1">IFERROR(__xludf.DUMMYFUNCTION("if($G126="""",false, if(isna(match(L$2, split($G126:$G383,"", "",False),0)),false,true))"),FALSE)</f>
        <v>0</v>
      </c>
      <c r="M126" s="53" t="b">
        <f ca="1">IFERROR(__xludf.DUMMYFUNCTION("if($G126="""",false, if(isna(match(M$2, split($G126:$G383,"", "",False),0)),false,true))"),FALSE)</f>
        <v>0</v>
      </c>
      <c r="N126" s="53" t="b">
        <f ca="1">IFERROR(__xludf.DUMMYFUNCTION("if($G126="""",false, if(isna(match(N$2, split($G126:$G383,"", "",False),0)),false,true))"),FALSE)</f>
        <v>0</v>
      </c>
      <c r="O126" s="53" t="b">
        <f ca="1">IFERROR(__xludf.DUMMYFUNCTION("if($G126="""",false, if(isna(match(O$2, split($G126:$G383,"", "",False),0)),false,true))"),FALSE)</f>
        <v>0</v>
      </c>
      <c r="P126" s="53" t="b">
        <f ca="1">IFERROR(__xludf.DUMMYFUNCTION("if($G126="""",false, if(isna(match(P$2, split($G126:$G383,"", "",False),0)),false,true))"),TRUE)</f>
        <v>1</v>
      </c>
      <c r="Q126" s="53" t="b">
        <f ca="1">IFERROR(__xludf.DUMMYFUNCTION("if($G126="""",false, if(isna(match(Q$2, split($G126:$G383,"", "",False),0)),false,true))"),FALSE)</f>
        <v>0</v>
      </c>
      <c r="R126" s="53" t="b">
        <f ca="1">IFERROR(__xludf.DUMMYFUNCTION("if($G126="""",false, if(isna(match(R$2, split($G126:$G383,"", "",False),0)),false,true))"),FALSE)</f>
        <v>0</v>
      </c>
      <c r="S126" s="53" t="b">
        <f ca="1">IFERROR(__xludf.DUMMYFUNCTION("if($G126="""",false, if(isna(match(S$2, split($G126:$G383,"", "",False),0)),false,true))"),TRUE)</f>
        <v>1</v>
      </c>
      <c r="T126" s="53" t="b">
        <f ca="1">IFERROR(__xludf.DUMMYFUNCTION("if($G126="""",false, if(isna(match(T$2, split($G126:$G383,"", "",False),0)),false,true))"),TRUE)</f>
        <v>1</v>
      </c>
      <c r="U126" s="53" t="b">
        <f ca="1">IFERROR(__xludf.DUMMYFUNCTION("if($G126="""",false, if(isna(match(U$2, split($G126:$G383,"", "",False),0)),false,true))"),FALSE)</f>
        <v>0</v>
      </c>
      <c r="V126" s="53" t="b">
        <f ca="1">IFERROR(__xludf.DUMMYFUNCTION("if($G126="""",false, if(isna(match(V$2, split($G126:$G383,"", "",False),0)),false,true))"),FALSE)</f>
        <v>0</v>
      </c>
      <c r="W126" s="57" t="b">
        <f ca="1">IFERROR(__xludf.DUMMYFUNCTION("if($G126="""",false, if(isna(match(W$2, split($G126:$G383,"", "",False),0)),false,true))"),FALSE)</f>
        <v>0</v>
      </c>
    </row>
    <row r="127" spans="1:23" ht="112">
      <c r="A127" s="47" t="s">
        <v>431</v>
      </c>
      <c r="B127" s="48" t="s">
        <v>64</v>
      </c>
      <c r="C127" s="49" t="s">
        <v>419</v>
      </c>
      <c r="D127" s="50" t="s">
        <v>420</v>
      </c>
      <c r="E127" s="49" t="s">
        <v>25</v>
      </c>
      <c r="F127" s="51" t="s">
        <v>432</v>
      </c>
      <c r="G127" s="59" t="s">
        <v>117</v>
      </c>
      <c r="H127" s="53" t="b">
        <f ca="1">IFERROR(__xludf.DUMMYFUNCTION("if($G127="""",false, if(isna(match(H$2, split($G127:$G383,"", "",False),0)),false,true))"),FALSE)</f>
        <v>0</v>
      </c>
      <c r="I127" s="53" t="b">
        <f ca="1">IFERROR(__xludf.DUMMYFUNCTION("if($G127="""",false, if(isna(match(I$2, split($G127:$G383,"", "",False),0)),false,true))"),FALSE)</f>
        <v>0</v>
      </c>
      <c r="J127" s="53" t="b">
        <f ca="1">IFERROR(__xludf.DUMMYFUNCTION("if($G127="""",false, if(isna(match(J$2, split($G127:$G383,"", "",False),0)),false,true))"),FALSE)</f>
        <v>0</v>
      </c>
      <c r="K127" s="53" t="b">
        <f ca="1">IFERROR(__xludf.DUMMYFUNCTION("if($G127="""",false, if(isna(match(K$2, split($G127:$G383,"", "",False),0)),false,true))"),FALSE)</f>
        <v>0</v>
      </c>
      <c r="L127" s="53" t="b">
        <f ca="1">IFERROR(__xludf.DUMMYFUNCTION("if($G127="""",false, if(isna(match(L$2, split($G127:$G383,"", "",False),0)),false,true))"),FALSE)</f>
        <v>0</v>
      </c>
      <c r="M127" s="53" t="b">
        <f ca="1">IFERROR(__xludf.DUMMYFUNCTION("if($G127="""",false, if(isna(match(M$2, split($G127:$G383,"", "",False),0)),false,true))"),FALSE)</f>
        <v>0</v>
      </c>
      <c r="N127" s="53" t="b">
        <f ca="1">IFERROR(__xludf.DUMMYFUNCTION("if($G127="""",false, if(isna(match(N$2, split($G127:$G383,"", "",False),0)),false,true))"),FALSE)</f>
        <v>0</v>
      </c>
      <c r="O127" s="53" t="b">
        <f ca="1">IFERROR(__xludf.DUMMYFUNCTION("if($G127="""",false, if(isna(match(O$2, split($G127:$G383,"", "",False),0)),false,true))"),FALSE)</f>
        <v>0</v>
      </c>
      <c r="P127" s="53" t="b">
        <f ca="1">IFERROR(__xludf.DUMMYFUNCTION("if($G127="""",false, if(isna(match(P$2, split($G127:$G383,"", "",False),0)),false,true))"),FALSE)</f>
        <v>0</v>
      </c>
      <c r="Q127" s="53" t="b">
        <f ca="1">IFERROR(__xludf.DUMMYFUNCTION("if($G127="""",false, if(isna(match(Q$2, split($G127:$G383,"", "",False),0)),false,true))"),TRUE)</f>
        <v>1</v>
      </c>
      <c r="R127" s="53" t="b">
        <f ca="1">IFERROR(__xludf.DUMMYFUNCTION("if($G127="""",false, if(isna(match(R$2, split($G127:$G383,"", "",False),0)),false,true))"),FALSE)</f>
        <v>0</v>
      </c>
      <c r="S127" s="53" t="b">
        <f ca="1">IFERROR(__xludf.DUMMYFUNCTION("if($G127="""",false, if(isna(match(S$2, split($G127:$G383,"", "",False),0)),false,true))"),FALSE)</f>
        <v>0</v>
      </c>
      <c r="T127" s="53" t="b">
        <f ca="1">IFERROR(__xludf.DUMMYFUNCTION("if($G127="""",false, if(isna(match(T$2, split($G127:$G383,"", "",False),0)),false,true))"),FALSE)</f>
        <v>0</v>
      </c>
      <c r="U127" s="53" t="b">
        <f ca="1">IFERROR(__xludf.DUMMYFUNCTION("if($G127="""",false, if(isna(match(U$2, split($G127:$G383,"", "",False),0)),false,true))"),FALSE)</f>
        <v>0</v>
      </c>
      <c r="V127" s="53" t="b">
        <f ca="1">IFERROR(__xludf.DUMMYFUNCTION("if($G127="""",false, if(isna(match(V$2, split($G127:$G383,"", "",False),0)),false,true))"),FALSE)</f>
        <v>0</v>
      </c>
      <c r="W127" s="57" t="b">
        <f ca="1">IFERROR(__xludf.DUMMYFUNCTION("if($G127="""",false, if(isna(match(W$2, split($G127:$G383,"", "",False),0)),false,true))"),FALSE)</f>
        <v>0</v>
      </c>
    </row>
    <row r="128" spans="1:23" ht="56">
      <c r="A128" s="47" t="s">
        <v>433</v>
      </c>
      <c r="B128" s="48" t="s">
        <v>64</v>
      </c>
      <c r="C128" s="49" t="s">
        <v>419</v>
      </c>
      <c r="D128" s="50" t="s">
        <v>420</v>
      </c>
      <c r="E128" s="49" t="s">
        <v>25</v>
      </c>
      <c r="F128" s="51" t="s">
        <v>434</v>
      </c>
      <c r="G128" s="59" t="s">
        <v>435</v>
      </c>
      <c r="H128" s="53" t="b">
        <f ca="1">IFERROR(__xludf.DUMMYFUNCTION("if($G128="""",false, if(isna(match(H$2, split($G128:$G383,"", "",False),0)),false,true))"),TRUE)</f>
        <v>1</v>
      </c>
      <c r="I128" s="53" t="b">
        <f ca="1">IFERROR(__xludf.DUMMYFUNCTION("if($G128="""",false, if(isna(match(I$2, split($G128:$G383,"", "",False),0)),false,true))"),FALSE)</f>
        <v>0</v>
      </c>
      <c r="J128" s="53" t="b">
        <f ca="1">IFERROR(__xludf.DUMMYFUNCTION("if($G128="""",false, if(isna(match(J$2, split($G128:$G383,"", "",False),0)),false,true))"),FALSE)</f>
        <v>0</v>
      </c>
      <c r="K128" s="53" t="b">
        <f ca="1">IFERROR(__xludf.DUMMYFUNCTION("if($G128="""",false, if(isna(match(K$2, split($G128:$G383,"", "",False),0)),false,true))"),FALSE)</f>
        <v>0</v>
      </c>
      <c r="L128" s="53" t="b">
        <f ca="1">IFERROR(__xludf.DUMMYFUNCTION("if($G128="""",false, if(isna(match(L$2, split($G128:$G383,"", "",False),0)),false,true))"),FALSE)</f>
        <v>0</v>
      </c>
      <c r="M128" s="53" t="b">
        <f ca="1">IFERROR(__xludf.DUMMYFUNCTION("if($G128="""",false, if(isna(match(M$2, split($G128:$G383,"", "",False),0)),false,true))"),FALSE)</f>
        <v>0</v>
      </c>
      <c r="N128" s="53" t="b">
        <f ca="1">IFERROR(__xludf.DUMMYFUNCTION("if($G128="""",false, if(isna(match(N$2, split($G128:$G383,"", "",False),0)),false,true))"),FALSE)</f>
        <v>0</v>
      </c>
      <c r="O128" s="53" t="b">
        <f ca="1">IFERROR(__xludf.DUMMYFUNCTION("if($G128="""",false, if(isna(match(O$2, split($G128:$G383,"", "",False),0)),false,true))"),FALSE)</f>
        <v>0</v>
      </c>
      <c r="P128" s="53" t="b">
        <f ca="1">IFERROR(__xludf.DUMMYFUNCTION("if($G128="""",false, if(isna(match(P$2, split($G128:$G383,"", "",False),0)),false,true))"),FALSE)</f>
        <v>0</v>
      </c>
      <c r="Q128" s="53" t="b">
        <f ca="1">IFERROR(__xludf.DUMMYFUNCTION("if($G128="""",false, if(isna(match(Q$2, split($G128:$G383,"", "",False),0)),false,true))"),FALSE)</f>
        <v>0</v>
      </c>
      <c r="R128" s="53" t="b">
        <f ca="1">IFERROR(__xludf.DUMMYFUNCTION("if($G128="""",false, if(isna(match(R$2, split($G128:$G383,"", "",False),0)),false,true))"),TRUE)</f>
        <v>1</v>
      </c>
      <c r="S128" s="53" t="b">
        <f ca="1">IFERROR(__xludf.DUMMYFUNCTION("if($G128="""",false, if(isna(match(S$2, split($G128:$G383,"", "",False),0)),false,true))"),FALSE)</f>
        <v>0</v>
      </c>
      <c r="T128" s="53" t="b">
        <f ca="1">IFERROR(__xludf.DUMMYFUNCTION("if($G128="""",false, if(isna(match(T$2, split($G128:$G383,"", "",False),0)),false,true))"),FALSE)</f>
        <v>0</v>
      </c>
      <c r="U128" s="53" t="b">
        <f ca="1">IFERROR(__xludf.DUMMYFUNCTION("if($G128="""",false, if(isna(match(U$2, split($G128:$G383,"", "",False),0)),false,true))"),FALSE)</f>
        <v>0</v>
      </c>
      <c r="V128" s="53" t="b">
        <f ca="1">IFERROR(__xludf.DUMMYFUNCTION("if($G128="""",false, if(isna(match(V$2, split($G128:$G383,"", "",False),0)),false,true))"),FALSE)</f>
        <v>0</v>
      </c>
      <c r="W128" s="57" t="b">
        <f ca="1">IFERROR(__xludf.DUMMYFUNCTION("if($G128="""",false, if(isna(match(W$2, split($G128:$G383,"", "",False),0)),false,true))"),FALSE)</f>
        <v>0</v>
      </c>
    </row>
    <row r="129" spans="1:23" ht="42">
      <c r="A129" s="47" t="s">
        <v>436</v>
      </c>
      <c r="B129" s="48" t="s">
        <v>64</v>
      </c>
      <c r="C129" s="49" t="s">
        <v>419</v>
      </c>
      <c r="D129" s="50" t="s">
        <v>420</v>
      </c>
      <c r="E129" s="49" t="s">
        <v>25</v>
      </c>
      <c r="F129" s="51" t="s">
        <v>437</v>
      </c>
      <c r="G129" s="59" t="s">
        <v>116</v>
      </c>
      <c r="H129" s="53" t="b">
        <f ca="1">IFERROR(__xludf.DUMMYFUNCTION("if($G129="""",false, if(isna(match(H$2, split($G129:$G383,"", "",False),0)),false,true))"),FALSE)</f>
        <v>0</v>
      </c>
      <c r="I129" s="53" t="b">
        <f ca="1">IFERROR(__xludf.DUMMYFUNCTION("if($G129="""",false, if(isna(match(I$2, split($G129:$G383,"", "",False),0)),false,true))"),FALSE)</f>
        <v>0</v>
      </c>
      <c r="J129" s="53" t="b">
        <f ca="1">IFERROR(__xludf.DUMMYFUNCTION("if($G129="""",false, if(isna(match(J$2, split($G129:$G383,"", "",False),0)),false,true))"),FALSE)</f>
        <v>0</v>
      </c>
      <c r="K129" s="53" t="b">
        <f ca="1">IFERROR(__xludf.DUMMYFUNCTION("if($G129="""",false, if(isna(match(K$2, split($G129:$G383,"", "",False),0)),false,true))"),FALSE)</f>
        <v>0</v>
      </c>
      <c r="L129" s="53" t="b">
        <f ca="1">IFERROR(__xludf.DUMMYFUNCTION("if($G129="""",false, if(isna(match(L$2, split($G129:$G383,"", "",False),0)),false,true))"),FALSE)</f>
        <v>0</v>
      </c>
      <c r="M129" s="53" t="b">
        <f ca="1">IFERROR(__xludf.DUMMYFUNCTION("if($G129="""",false, if(isna(match(M$2, split($G129:$G383,"", "",False),0)),false,true))"),FALSE)</f>
        <v>0</v>
      </c>
      <c r="N129" s="53" t="b">
        <f ca="1">IFERROR(__xludf.DUMMYFUNCTION("if($G129="""",false, if(isna(match(N$2, split($G129:$G383,"", "",False),0)),false,true))"),FALSE)</f>
        <v>0</v>
      </c>
      <c r="O129" s="53" t="b">
        <f ca="1">IFERROR(__xludf.DUMMYFUNCTION("if($G129="""",false, if(isna(match(O$2, split($G129:$G383,"", "",False),0)),false,true))"),FALSE)</f>
        <v>0</v>
      </c>
      <c r="P129" s="53" t="b">
        <f ca="1">IFERROR(__xludf.DUMMYFUNCTION("if($G129="""",false, if(isna(match(P$2, split($G129:$G383,"", "",False),0)),false,true))"),TRUE)</f>
        <v>1</v>
      </c>
      <c r="Q129" s="53" t="b">
        <f ca="1">IFERROR(__xludf.DUMMYFUNCTION("if($G129="""",false, if(isna(match(Q$2, split($G129:$G383,"", "",False),0)),false,true))"),FALSE)</f>
        <v>0</v>
      </c>
      <c r="R129" s="53" t="b">
        <f ca="1">IFERROR(__xludf.DUMMYFUNCTION("if($G129="""",false, if(isna(match(R$2, split($G129:$G383,"", "",False),0)),false,true))"),FALSE)</f>
        <v>0</v>
      </c>
      <c r="S129" s="53" t="b">
        <f ca="1">IFERROR(__xludf.DUMMYFUNCTION("if($G129="""",false, if(isna(match(S$2, split($G129:$G383,"", "",False),0)),false,true))"),FALSE)</f>
        <v>0</v>
      </c>
      <c r="T129" s="53" t="b">
        <f ca="1">IFERROR(__xludf.DUMMYFUNCTION("if($G129="""",false, if(isna(match(T$2, split($G129:$G383,"", "",False),0)),false,true))"),FALSE)</f>
        <v>0</v>
      </c>
      <c r="U129" s="53" t="b">
        <f ca="1">IFERROR(__xludf.DUMMYFUNCTION("if($G129="""",false, if(isna(match(U$2, split($G129:$G383,"", "",False),0)),false,true))"),FALSE)</f>
        <v>0</v>
      </c>
      <c r="V129" s="53" t="b">
        <f ca="1">IFERROR(__xludf.DUMMYFUNCTION("if($G129="""",false, if(isna(match(V$2, split($G129:$G383,"", "",False),0)),false,true))"),FALSE)</f>
        <v>0</v>
      </c>
      <c r="W129" s="57" t="b">
        <f ca="1">IFERROR(__xludf.DUMMYFUNCTION("if($G129="""",false, if(isna(match(W$2, split($G129:$G383,"", "",False),0)),false,true))"),FALSE)</f>
        <v>0</v>
      </c>
    </row>
    <row r="130" spans="1:23" ht="42">
      <c r="A130" s="47" t="s">
        <v>438</v>
      </c>
      <c r="B130" s="48" t="s">
        <v>64</v>
      </c>
      <c r="C130" s="49" t="s">
        <v>419</v>
      </c>
      <c r="D130" s="50" t="s">
        <v>420</v>
      </c>
      <c r="E130" s="49" t="s">
        <v>25</v>
      </c>
      <c r="F130" s="51" t="s">
        <v>439</v>
      </c>
      <c r="G130" s="59" t="s">
        <v>111</v>
      </c>
      <c r="H130" s="53" t="b">
        <f ca="1">IFERROR(__xludf.DUMMYFUNCTION("if($G130="""",false, if(isna(match(H$2, split($G130:$G383,"", "",False),0)),false,true))"),FALSE)</f>
        <v>0</v>
      </c>
      <c r="I130" s="53" t="b">
        <f ca="1">IFERROR(__xludf.DUMMYFUNCTION("if($G130="""",false, if(isna(match(I$2, split($G130:$G383,"", "",False),0)),false,true))"),FALSE)</f>
        <v>0</v>
      </c>
      <c r="J130" s="53" t="b">
        <f ca="1">IFERROR(__xludf.DUMMYFUNCTION("if($G130="""",false, if(isna(match(J$2, split($G130:$G383,"", "",False),0)),false,true))"),FALSE)</f>
        <v>0</v>
      </c>
      <c r="K130" s="53" t="b">
        <f ca="1">IFERROR(__xludf.DUMMYFUNCTION("if($G130="""",false, if(isna(match(K$2, split($G130:$G383,"", "",False),0)),false,true))"),TRUE)</f>
        <v>1</v>
      </c>
      <c r="L130" s="53" t="b">
        <f ca="1">IFERROR(__xludf.DUMMYFUNCTION("if($G130="""",false, if(isna(match(L$2, split($G130:$G383,"", "",False),0)),false,true))"),FALSE)</f>
        <v>0</v>
      </c>
      <c r="M130" s="53" t="b">
        <f ca="1">IFERROR(__xludf.DUMMYFUNCTION("if($G130="""",false, if(isna(match(M$2, split($G130:$G383,"", "",False),0)),false,true))"),FALSE)</f>
        <v>0</v>
      </c>
      <c r="N130" s="53" t="b">
        <f ca="1">IFERROR(__xludf.DUMMYFUNCTION("if($G130="""",false, if(isna(match(N$2, split($G130:$G383,"", "",False),0)),false,true))"),FALSE)</f>
        <v>0</v>
      </c>
      <c r="O130" s="53" t="b">
        <f ca="1">IFERROR(__xludf.DUMMYFUNCTION("if($G130="""",false, if(isna(match(O$2, split($G130:$G383,"", "",False),0)),false,true))"),FALSE)</f>
        <v>0</v>
      </c>
      <c r="P130" s="53" t="b">
        <f ca="1">IFERROR(__xludf.DUMMYFUNCTION("if($G130="""",false, if(isna(match(P$2, split($G130:$G383,"", "",False),0)),false,true))"),FALSE)</f>
        <v>0</v>
      </c>
      <c r="Q130" s="53" t="b">
        <f ca="1">IFERROR(__xludf.DUMMYFUNCTION("if($G130="""",false, if(isna(match(Q$2, split($G130:$G383,"", "",False),0)),false,true))"),FALSE)</f>
        <v>0</v>
      </c>
      <c r="R130" s="53" t="b">
        <f ca="1">IFERROR(__xludf.DUMMYFUNCTION("if($G130="""",false, if(isna(match(R$2, split($G130:$G383,"", "",False),0)),false,true))"),FALSE)</f>
        <v>0</v>
      </c>
      <c r="S130" s="53" t="b">
        <f ca="1">IFERROR(__xludf.DUMMYFUNCTION("if($G130="""",false, if(isna(match(S$2, split($G130:$G383,"", "",False),0)),false,true))"),FALSE)</f>
        <v>0</v>
      </c>
      <c r="T130" s="53" t="b">
        <f ca="1">IFERROR(__xludf.DUMMYFUNCTION("if($G130="""",false, if(isna(match(T$2, split($G130:$G383,"", "",False),0)),false,true))"),FALSE)</f>
        <v>0</v>
      </c>
      <c r="U130" s="53" t="b">
        <f ca="1">IFERROR(__xludf.DUMMYFUNCTION("if($G130="""",false, if(isna(match(U$2, split($G130:$G383,"", "",False),0)),false,true))"),FALSE)</f>
        <v>0</v>
      </c>
      <c r="V130" s="53" t="b">
        <f ca="1">IFERROR(__xludf.DUMMYFUNCTION("if($G130="""",false, if(isna(match(V$2, split($G130:$G383,"", "",False),0)),false,true))"),FALSE)</f>
        <v>0</v>
      </c>
      <c r="W130" s="57" t="b">
        <f ca="1">IFERROR(__xludf.DUMMYFUNCTION("if($G130="""",false, if(isna(match(W$2, split($G130:$G383,"", "",False),0)),false,true))"),FALSE)</f>
        <v>0</v>
      </c>
    </row>
    <row r="131" spans="1:23" ht="56">
      <c r="A131" s="47" t="s">
        <v>440</v>
      </c>
      <c r="B131" s="48" t="s">
        <v>64</v>
      </c>
      <c r="C131" s="49" t="s">
        <v>419</v>
      </c>
      <c r="D131" s="50" t="s">
        <v>420</v>
      </c>
      <c r="E131" s="49" t="s">
        <v>25</v>
      </c>
      <c r="F131" s="51" t="s">
        <v>441</v>
      </c>
      <c r="G131" s="59" t="s">
        <v>111</v>
      </c>
      <c r="H131" s="53" t="b">
        <f ca="1">IFERROR(__xludf.DUMMYFUNCTION("if($G131="""",false, if(isna(match(H$2, split($G131:$G383,"", "",False),0)),false,true))"),FALSE)</f>
        <v>0</v>
      </c>
      <c r="I131" s="53" t="b">
        <f ca="1">IFERROR(__xludf.DUMMYFUNCTION("if($G131="""",false, if(isna(match(I$2, split($G131:$G383,"", "",False),0)),false,true))"),FALSE)</f>
        <v>0</v>
      </c>
      <c r="J131" s="53" t="b">
        <f ca="1">IFERROR(__xludf.DUMMYFUNCTION("if($G131="""",false, if(isna(match(J$2, split($G131:$G383,"", "",False),0)),false,true))"),FALSE)</f>
        <v>0</v>
      </c>
      <c r="K131" s="53" t="b">
        <f ca="1">IFERROR(__xludf.DUMMYFUNCTION("if($G131="""",false, if(isna(match(K$2, split($G131:$G383,"", "",False),0)),false,true))"),TRUE)</f>
        <v>1</v>
      </c>
      <c r="L131" s="53" t="b">
        <f ca="1">IFERROR(__xludf.DUMMYFUNCTION("if($G131="""",false, if(isna(match(L$2, split($G131:$G383,"", "",False),0)),false,true))"),FALSE)</f>
        <v>0</v>
      </c>
      <c r="M131" s="53" t="b">
        <f ca="1">IFERROR(__xludf.DUMMYFUNCTION("if($G131="""",false, if(isna(match(M$2, split($G131:$G383,"", "",False),0)),false,true))"),FALSE)</f>
        <v>0</v>
      </c>
      <c r="N131" s="53" t="b">
        <f ca="1">IFERROR(__xludf.DUMMYFUNCTION("if($G131="""",false, if(isna(match(N$2, split($G131:$G383,"", "",False),0)),false,true))"),FALSE)</f>
        <v>0</v>
      </c>
      <c r="O131" s="53" t="b">
        <f ca="1">IFERROR(__xludf.DUMMYFUNCTION("if($G131="""",false, if(isna(match(O$2, split($G131:$G383,"", "",False),0)),false,true))"),FALSE)</f>
        <v>0</v>
      </c>
      <c r="P131" s="53" t="b">
        <f ca="1">IFERROR(__xludf.DUMMYFUNCTION("if($G131="""",false, if(isna(match(P$2, split($G131:$G383,"", "",False),0)),false,true))"),FALSE)</f>
        <v>0</v>
      </c>
      <c r="Q131" s="53" t="b">
        <f ca="1">IFERROR(__xludf.DUMMYFUNCTION("if($G131="""",false, if(isna(match(Q$2, split($G131:$G383,"", "",False),0)),false,true))"),FALSE)</f>
        <v>0</v>
      </c>
      <c r="R131" s="53" t="b">
        <f ca="1">IFERROR(__xludf.DUMMYFUNCTION("if($G131="""",false, if(isna(match(R$2, split($G131:$G383,"", "",False),0)),false,true))"),FALSE)</f>
        <v>0</v>
      </c>
      <c r="S131" s="53" t="b">
        <f ca="1">IFERROR(__xludf.DUMMYFUNCTION("if($G131="""",false, if(isna(match(S$2, split($G131:$G383,"", "",False),0)),false,true))"),FALSE)</f>
        <v>0</v>
      </c>
      <c r="T131" s="53" t="b">
        <f ca="1">IFERROR(__xludf.DUMMYFUNCTION("if($G131="""",false, if(isna(match(T$2, split($G131:$G383,"", "",False),0)),false,true))"),FALSE)</f>
        <v>0</v>
      </c>
      <c r="U131" s="53" t="b">
        <f ca="1">IFERROR(__xludf.DUMMYFUNCTION("if($G131="""",false, if(isna(match(U$2, split($G131:$G383,"", "",False),0)),false,true))"),FALSE)</f>
        <v>0</v>
      </c>
      <c r="V131" s="53" t="b">
        <f ca="1">IFERROR(__xludf.DUMMYFUNCTION("if($G131="""",false, if(isna(match(V$2, split($G131:$G383,"", "",False),0)),false,true))"),FALSE)</f>
        <v>0</v>
      </c>
      <c r="W131" s="57" t="b">
        <f ca="1">IFERROR(__xludf.DUMMYFUNCTION("if($G131="""",false, if(isna(match(W$2, split($G131:$G383,"", "",False),0)),false,true))"),FALSE)</f>
        <v>0</v>
      </c>
    </row>
    <row r="132" spans="1:23" ht="42">
      <c r="A132" s="47" t="s">
        <v>442</v>
      </c>
      <c r="B132" s="48" t="s">
        <v>64</v>
      </c>
      <c r="C132" s="49" t="s">
        <v>419</v>
      </c>
      <c r="D132" s="50" t="s">
        <v>420</v>
      </c>
      <c r="E132" s="49" t="s">
        <v>443</v>
      </c>
      <c r="F132" s="51" t="s">
        <v>444</v>
      </c>
      <c r="G132" s="59" t="s">
        <v>316</v>
      </c>
      <c r="H132" s="53" t="b">
        <f ca="1">IFERROR(__xludf.DUMMYFUNCTION("if($G132="""",false, if(isna(match(H$2, split($G132:$G383,"", "",False),0)),false,true))"),FALSE)</f>
        <v>0</v>
      </c>
      <c r="I132" s="53" t="b">
        <f ca="1">IFERROR(__xludf.DUMMYFUNCTION("if($G132="""",false, if(isna(match(I$2, split($G132:$G383,"", "",False),0)),false,true))"),TRUE)</f>
        <v>1</v>
      </c>
      <c r="J132" s="53" t="b">
        <f ca="1">IFERROR(__xludf.DUMMYFUNCTION("if($G132="""",false, if(isna(match(J$2, split($G132:$G383,"", "",False),0)),false,true))"),FALSE)</f>
        <v>0</v>
      </c>
      <c r="K132" s="53" t="b">
        <f ca="1">IFERROR(__xludf.DUMMYFUNCTION("if($G132="""",false, if(isna(match(K$2, split($G132:$G383,"", "",False),0)),false,true))"),FALSE)</f>
        <v>0</v>
      </c>
      <c r="L132" s="53" t="b">
        <f ca="1">IFERROR(__xludf.DUMMYFUNCTION("if($G132="""",false, if(isna(match(L$2, split($G132:$G383,"", "",False),0)),false,true))"),FALSE)</f>
        <v>0</v>
      </c>
      <c r="M132" s="53" t="b">
        <f ca="1">IFERROR(__xludf.DUMMYFUNCTION("if($G132="""",false, if(isna(match(M$2, split($G132:$G383,"", "",False),0)),false,true))"),FALSE)</f>
        <v>0</v>
      </c>
      <c r="N132" s="53" t="b">
        <f ca="1">IFERROR(__xludf.DUMMYFUNCTION("if($G132="""",false, if(isna(match(N$2, split($G132:$G383,"", "",False),0)),false,true))"),FALSE)</f>
        <v>0</v>
      </c>
      <c r="O132" s="53" t="b">
        <f ca="1">IFERROR(__xludf.DUMMYFUNCTION("if($G132="""",false, if(isna(match(O$2, split($G132:$G383,"", "",False),0)),false,true))"),FALSE)</f>
        <v>0</v>
      </c>
      <c r="P132" s="53" t="b">
        <f ca="1">IFERROR(__xludf.DUMMYFUNCTION("if($G132="""",false, if(isna(match(P$2, split($G132:$G383,"", "",False),0)),false,true))"),FALSE)</f>
        <v>0</v>
      </c>
      <c r="Q132" s="53" t="b">
        <f ca="1">IFERROR(__xludf.DUMMYFUNCTION("if($G132="""",false, if(isna(match(Q$2, split($G132:$G383,"", "",False),0)),false,true))"),FALSE)</f>
        <v>0</v>
      </c>
      <c r="R132" s="53" t="b">
        <f ca="1">IFERROR(__xludf.DUMMYFUNCTION("if($G132="""",false, if(isna(match(R$2, split($G132:$G383,"", "",False),0)),false,true))"),FALSE)</f>
        <v>0</v>
      </c>
      <c r="S132" s="53" t="b">
        <f ca="1">IFERROR(__xludf.DUMMYFUNCTION("if($G132="""",false, if(isna(match(S$2, split($G132:$G383,"", "",False),0)),false,true))"),TRUE)</f>
        <v>1</v>
      </c>
      <c r="T132" s="53" t="b">
        <f ca="1">IFERROR(__xludf.DUMMYFUNCTION("if($G132="""",false, if(isna(match(T$2, split($G132:$G383,"", "",False),0)),false,true))"),FALSE)</f>
        <v>0</v>
      </c>
      <c r="U132" s="53" t="b">
        <f ca="1">IFERROR(__xludf.DUMMYFUNCTION("if($G132="""",false, if(isna(match(U$2, split($G132:$G383,"", "",False),0)),false,true))"),FALSE)</f>
        <v>0</v>
      </c>
      <c r="V132" s="53" t="b">
        <f ca="1">IFERROR(__xludf.DUMMYFUNCTION("if($G132="""",false, if(isna(match(V$2, split($G132:$G383,"", "",False),0)),false,true))"),FALSE)</f>
        <v>0</v>
      </c>
      <c r="W132" s="57" t="b">
        <f ca="1">IFERROR(__xludf.DUMMYFUNCTION("if($G132="""",false, if(isna(match(W$2, split($G132:$G383,"", "",False),0)),false,true))"),FALSE)</f>
        <v>0</v>
      </c>
    </row>
    <row r="133" spans="1:23" ht="84">
      <c r="A133" s="47" t="s">
        <v>445</v>
      </c>
      <c r="B133" s="48" t="s">
        <v>64</v>
      </c>
      <c r="C133" s="49" t="s">
        <v>419</v>
      </c>
      <c r="D133" s="50" t="s">
        <v>446</v>
      </c>
      <c r="E133" s="49" t="s">
        <v>447</v>
      </c>
      <c r="F133" s="51" t="s">
        <v>448</v>
      </c>
      <c r="G133" s="59" t="s">
        <v>110</v>
      </c>
      <c r="H133" s="53" t="b">
        <f ca="1">IFERROR(__xludf.DUMMYFUNCTION("if($G133="""",false, if(isna(match(H$2, split($G133:$G383,"", "",False),0)),false,true))"),FALSE)</f>
        <v>0</v>
      </c>
      <c r="I133" s="53" t="b">
        <f ca="1">IFERROR(__xludf.DUMMYFUNCTION("if($G133="""",false, if(isna(match(I$2, split($G133:$G383,"", "",False),0)),false,true))"),FALSE)</f>
        <v>0</v>
      </c>
      <c r="J133" s="53" t="b">
        <f ca="1">IFERROR(__xludf.DUMMYFUNCTION("if($G133="""",false, if(isna(match(J$2, split($G133:$G383,"", "",False),0)),false,true))"),TRUE)</f>
        <v>1</v>
      </c>
      <c r="K133" s="53" t="b">
        <f ca="1">IFERROR(__xludf.DUMMYFUNCTION("if($G133="""",false, if(isna(match(K$2, split($G133:$G383,"", "",False),0)),false,true))"),FALSE)</f>
        <v>0</v>
      </c>
      <c r="L133" s="53" t="b">
        <f ca="1">IFERROR(__xludf.DUMMYFUNCTION("if($G133="""",false, if(isna(match(L$2, split($G133:$G383,"", "",False),0)),false,true))"),FALSE)</f>
        <v>0</v>
      </c>
      <c r="M133" s="53" t="b">
        <f ca="1">IFERROR(__xludf.DUMMYFUNCTION("if($G133="""",false, if(isna(match(M$2, split($G133:$G383,"", "",False),0)),false,true))"),FALSE)</f>
        <v>0</v>
      </c>
      <c r="N133" s="53" t="b">
        <f ca="1">IFERROR(__xludf.DUMMYFUNCTION("if($G133="""",false, if(isna(match(N$2, split($G133:$G383,"", "",False),0)),false,true))"),FALSE)</f>
        <v>0</v>
      </c>
      <c r="O133" s="53" t="b">
        <f ca="1">IFERROR(__xludf.DUMMYFUNCTION("if($G133="""",false, if(isna(match(O$2, split($G133:$G383,"", "",False),0)),false,true))"),FALSE)</f>
        <v>0</v>
      </c>
      <c r="P133" s="53" t="b">
        <f ca="1">IFERROR(__xludf.DUMMYFUNCTION("if($G133="""",false, if(isna(match(P$2, split($G133:$G383,"", "",False),0)),false,true))"),FALSE)</f>
        <v>0</v>
      </c>
      <c r="Q133" s="53" t="b">
        <f ca="1">IFERROR(__xludf.DUMMYFUNCTION("if($G133="""",false, if(isna(match(Q$2, split($G133:$G383,"", "",False),0)),false,true))"),FALSE)</f>
        <v>0</v>
      </c>
      <c r="R133" s="53" t="b">
        <f ca="1">IFERROR(__xludf.DUMMYFUNCTION("if($G133="""",false, if(isna(match(R$2, split($G133:$G383,"", "",False),0)),false,true))"),FALSE)</f>
        <v>0</v>
      </c>
      <c r="S133" s="53" t="b">
        <f ca="1">IFERROR(__xludf.DUMMYFUNCTION("if($G133="""",false, if(isna(match(S$2, split($G133:$G383,"", "",False),0)),false,true))"),FALSE)</f>
        <v>0</v>
      </c>
      <c r="T133" s="53" t="b">
        <f ca="1">IFERROR(__xludf.DUMMYFUNCTION("if($G133="""",false, if(isna(match(T$2, split($G133:$G383,"", "",False),0)),false,true))"),FALSE)</f>
        <v>0</v>
      </c>
      <c r="U133" s="53" t="b">
        <f ca="1">IFERROR(__xludf.DUMMYFUNCTION("if($G133="""",false, if(isna(match(U$2, split($G133:$G383,"", "",False),0)),false,true))"),FALSE)</f>
        <v>0</v>
      </c>
      <c r="V133" s="53" t="b">
        <f ca="1">IFERROR(__xludf.DUMMYFUNCTION("if($G133="""",false, if(isna(match(V$2, split($G133:$G383,"", "",False),0)),false,true))"),FALSE)</f>
        <v>0</v>
      </c>
      <c r="W133" s="57" t="b">
        <f ca="1">IFERROR(__xludf.DUMMYFUNCTION("if($G133="""",false, if(isna(match(W$2, split($G133:$G383,"", "",False),0)),false,true))"),FALSE)</f>
        <v>0</v>
      </c>
    </row>
    <row r="134" spans="1:23" ht="42">
      <c r="A134" s="47" t="s">
        <v>449</v>
      </c>
      <c r="B134" s="48" t="s">
        <v>64</v>
      </c>
      <c r="C134" s="49" t="s">
        <v>419</v>
      </c>
      <c r="D134" s="50" t="s">
        <v>446</v>
      </c>
      <c r="E134" s="49" t="s">
        <v>447</v>
      </c>
      <c r="F134" s="51" t="s">
        <v>450</v>
      </c>
      <c r="G134" s="59"/>
      <c r="H134" s="53" t="b">
        <f ca="1">IFERROR(__xludf.DUMMYFUNCTION("if($G134="""",false, if(isna(match(H$2, split($G134:$G383,"", "",False),0)),false,true))"),FALSE)</f>
        <v>0</v>
      </c>
      <c r="I134" s="53" t="b">
        <f ca="1">IFERROR(__xludf.DUMMYFUNCTION("if($G134="""",false, if(isna(match(I$2, split($G134:$G383,"", "",False),0)),false,true))"),FALSE)</f>
        <v>0</v>
      </c>
      <c r="J134" s="53" t="b">
        <f ca="1">IFERROR(__xludf.DUMMYFUNCTION("if($G134="""",false, if(isna(match(J$2, split($G134:$G383,"", "",False),0)),false,true))"),FALSE)</f>
        <v>0</v>
      </c>
      <c r="K134" s="53" t="b">
        <f ca="1">IFERROR(__xludf.DUMMYFUNCTION("if($G134="""",false, if(isna(match(K$2, split($G134:$G383,"", "",False),0)),false,true))"),FALSE)</f>
        <v>0</v>
      </c>
      <c r="L134" s="53" t="b">
        <f ca="1">IFERROR(__xludf.DUMMYFUNCTION("if($G134="""",false, if(isna(match(L$2, split($G134:$G383,"", "",False),0)),false,true))"),FALSE)</f>
        <v>0</v>
      </c>
      <c r="M134" s="53" t="b">
        <f ca="1">IFERROR(__xludf.DUMMYFUNCTION("if($G134="""",false, if(isna(match(M$2, split($G134:$G383,"", "",False),0)),false,true))"),FALSE)</f>
        <v>0</v>
      </c>
      <c r="N134" s="53" t="b">
        <f ca="1">IFERROR(__xludf.DUMMYFUNCTION("if($G134="""",false, if(isna(match(N$2, split($G134:$G383,"", "",False),0)),false,true))"),FALSE)</f>
        <v>0</v>
      </c>
      <c r="O134" s="53" t="b">
        <f ca="1">IFERROR(__xludf.DUMMYFUNCTION("if($G134="""",false, if(isna(match(O$2, split($G134:$G383,"", "",False),0)),false,true))"),FALSE)</f>
        <v>0</v>
      </c>
      <c r="P134" s="53" t="b">
        <f ca="1">IFERROR(__xludf.DUMMYFUNCTION("if($G134="""",false, if(isna(match(P$2, split($G134:$G383,"", "",False),0)),false,true))"),FALSE)</f>
        <v>0</v>
      </c>
      <c r="Q134" s="53" t="b">
        <f ca="1">IFERROR(__xludf.DUMMYFUNCTION("if($G134="""",false, if(isna(match(Q$2, split($G134:$G383,"", "",False),0)),false,true))"),FALSE)</f>
        <v>0</v>
      </c>
      <c r="R134" s="53" t="b">
        <f ca="1">IFERROR(__xludf.DUMMYFUNCTION("if($G134="""",false, if(isna(match(R$2, split($G134:$G383,"", "",False),0)),false,true))"),FALSE)</f>
        <v>0</v>
      </c>
      <c r="S134" s="53" t="b">
        <f ca="1">IFERROR(__xludf.DUMMYFUNCTION("if($G134="""",false, if(isna(match(S$2, split($G134:$G383,"", "",False),0)),false,true))"),FALSE)</f>
        <v>0</v>
      </c>
      <c r="T134" s="53" t="b">
        <f ca="1">IFERROR(__xludf.DUMMYFUNCTION("if($G134="""",false, if(isna(match(T$2, split($G134:$G383,"", "",False),0)),false,true))"),FALSE)</f>
        <v>0</v>
      </c>
      <c r="U134" s="53" t="b">
        <f ca="1">IFERROR(__xludf.DUMMYFUNCTION("if($G134="""",false, if(isna(match(U$2, split($G134:$G383,"", "",False),0)),false,true))"),FALSE)</f>
        <v>0</v>
      </c>
      <c r="V134" s="53" t="b">
        <f ca="1">IFERROR(__xludf.DUMMYFUNCTION("if($G134="""",false, if(isna(match(V$2, split($G134:$G383,"", "",False),0)),false,true))"),FALSE)</f>
        <v>0</v>
      </c>
      <c r="W134" s="57" t="b">
        <f ca="1">IFERROR(__xludf.DUMMYFUNCTION("if($G134="""",false, if(isna(match(W$2, split($G134:$G383,"", "",False),0)),false,true))"),FALSE)</f>
        <v>0</v>
      </c>
    </row>
    <row r="135" spans="1:23" ht="28">
      <c r="A135" s="47" t="s">
        <v>451</v>
      </c>
      <c r="B135" s="48" t="s">
        <v>64</v>
      </c>
      <c r="C135" s="49" t="s">
        <v>419</v>
      </c>
      <c r="D135" s="50" t="s">
        <v>446</v>
      </c>
      <c r="E135" s="49" t="s">
        <v>447</v>
      </c>
      <c r="F135" s="51" t="s">
        <v>452</v>
      </c>
      <c r="G135" s="59" t="s">
        <v>110</v>
      </c>
      <c r="H135" s="53" t="b">
        <f ca="1">IFERROR(__xludf.DUMMYFUNCTION("if($G135="""",false, if(isna(match(H$2, split($G135:$G383,"", "",False),0)),false,true))"),FALSE)</f>
        <v>0</v>
      </c>
      <c r="I135" s="53" t="b">
        <f ca="1">IFERROR(__xludf.DUMMYFUNCTION("if($G135="""",false, if(isna(match(I$2, split($G135:$G383,"", "",False),0)),false,true))"),FALSE)</f>
        <v>0</v>
      </c>
      <c r="J135" s="53" t="b">
        <f ca="1">IFERROR(__xludf.DUMMYFUNCTION("if($G135="""",false, if(isna(match(J$2, split($G135:$G383,"", "",False),0)),false,true))"),TRUE)</f>
        <v>1</v>
      </c>
      <c r="K135" s="53" t="b">
        <f ca="1">IFERROR(__xludf.DUMMYFUNCTION("if($G135="""",false, if(isna(match(K$2, split($G135:$G383,"", "",False),0)),false,true))"),FALSE)</f>
        <v>0</v>
      </c>
      <c r="L135" s="53" t="b">
        <f ca="1">IFERROR(__xludf.DUMMYFUNCTION("if($G135="""",false, if(isna(match(L$2, split($G135:$G383,"", "",False),0)),false,true))"),FALSE)</f>
        <v>0</v>
      </c>
      <c r="M135" s="53" t="b">
        <f ca="1">IFERROR(__xludf.DUMMYFUNCTION("if($G135="""",false, if(isna(match(M$2, split($G135:$G383,"", "",False),0)),false,true))"),FALSE)</f>
        <v>0</v>
      </c>
      <c r="N135" s="53" t="b">
        <f ca="1">IFERROR(__xludf.DUMMYFUNCTION("if($G135="""",false, if(isna(match(N$2, split($G135:$G383,"", "",False),0)),false,true))"),FALSE)</f>
        <v>0</v>
      </c>
      <c r="O135" s="53" t="b">
        <f ca="1">IFERROR(__xludf.DUMMYFUNCTION("if($G135="""",false, if(isna(match(O$2, split($G135:$G383,"", "",False),0)),false,true))"),FALSE)</f>
        <v>0</v>
      </c>
      <c r="P135" s="53" t="b">
        <f ca="1">IFERROR(__xludf.DUMMYFUNCTION("if($G135="""",false, if(isna(match(P$2, split($G135:$G383,"", "",False),0)),false,true))"),FALSE)</f>
        <v>0</v>
      </c>
      <c r="Q135" s="53" t="b">
        <f ca="1">IFERROR(__xludf.DUMMYFUNCTION("if($G135="""",false, if(isna(match(Q$2, split($G135:$G383,"", "",False),0)),false,true))"),FALSE)</f>
        <v>0</v>
      </c>
      <c r="R135" s="53" t="b">
        <f ca="1">IFERROR(__xludf.DUMMYFUNCTION("if($G135="""",false, if(isna(match(R$2, split($G135:$G383,"", "",False),0)),false,true))"),FALSE)</f>
        <v>0</v>
      </c>
      <c r="S135" s="53" t="b">
        <f ca="1">IFERROR(__xludf.DUMMYFUNCTION("if($G135="""",false, if(isna(match(S$2, split($G135:$G383,"", "",False),0)),false,true))"),FALSE)</f>
        <v>0</v>
      </c>
      <c r="T135" s="53" t="b">
        <f ca="1">IFERROR(__xludf.DUMMYFUNCTION("if($G135="""",false, if(isna(match(T$2, split($G135:$G383,"", "",False),0)),false,true))"),FALSE)</f>
        <v>0</v>
      </c>
      <c r="U135" s="53" t="b">
        <f ca="1">IFERROR(__xludf.DUMMYFUNCTION("if($G135="""",false, if(isna(match(U$2, split($G135:$G383,"", "",False),0)),false,true))"),FALSE)</f>
        <v>0</v>
      </c>
      <c r="V135" s="53" t="b">
        <f ca="1">IFERROR(__xludf.DUMMYFUNCTION("if($G135="""",false, if(isna(match(V$2, split($G135:$G383,"", "",False),0)),false,true))"),FALSE)</f>
        <v>0</v>
      </c>
      <c r="W135" s="57" t="b">
        <f ca="1">IFERROR(__xludf.DUMMYFUNCTION("if($G135="""",false, if(isna(match(W$2, split($G135:$G383,"", "",False),0)),false,true))"),FALSE)</f>
        <v>0</v>
      </c>
    </row>
    <row r="136" spans="1:23" ht="42">
      <c r="A136" s="47" t="s">
        <v>453</v>
      </c>
      <c r="B136" s="48" t="s">
        <v>64</v>
      </c>
      <c r="C136" s="49" t="s">
        <v>419</v>
      </c>
      <c r="D136" s="50" t="s">
        <v>446</v>
      </c>
      <c r="E136" s="49" t="s">
        <v>447</v>
      </c>
      <c r="F136" s="51" t="s">
        <v>454</v>
      </c>
      <c r="G136" s="59" t="s">
        <v>110</v>
      </c>
      <c r="H136" s="53" t="b">
        <f ca="1">IFERROR(__xludf.DUMMYFUNCTION("if($G136="""",false, if(isna(match(H$2, split($G136:$G383,"", "",False),0)),false,true))"),FALSE)</f>
        <v>0</v>
      </c>
      <c r="I136" s="53" t="b">
        <f ca="1">IFERROR(__xludf.DUMMYFUNCTION("if($G136="""",false, if(isna(match(I$2, split($G136:$G383,"", "",False),0)),false,true))"),FALSE)</f>
        <v>0</v>
      </c>
      <c r="J136" s="53" t="b">
        <f ca="1">IFERROR(__xludf.DUMMYFUNCTION("if($G136="""",false, if(isna(match(J$2, split($G136:$G383,"", "",False),0)),false,true))"),TRUE)</f>
        <v>1</v>
      </c>
      <c r="K136" s="53" t="b">
        <f ca="1">IFERROR(__xludf.DUMMYFUNCTION("if($G136="""",false, if(isna(match(K$2, split($G136:$G383,"", "",False),0)),false,true))"),FALSE)</f>
        <v>0</v>
      </c>
      <c r="L136" s="53" t="b">
        <f ca="1">IFERROR(__xludf.DUMMYFUNCTION("if($G136="""",false, if(isna(match(L$2, split($G136:$G383,"", "",False),0)),false,true))"),FALSE)</f>
        <v>0</v>
      </c>
      <c r="M136" s="53" t="b">
        <f ca="1">IFERROR(__xludf.DUMMYFUNCTION("if($G136="""",false, if(isna(match(M$2, split($G136:$G383,"", "",False),0)),false,true))"),FALSE)</f>
        <v>0</v>
      </c>
      <c r="N136" s="53" t="b">
        <f ca="1">IFERROR(__xludf.DUMMYFUNCTION("if($G136="""",false, if(isna(match(N$2, split($G136:$G383,"", "",False),0)),false,true))"),FALSE)</f>
        <v>0</v>
      </c>
      <c r="O136" s="53" t="b">
        <f ca="1">IFERROR(__xludf.DUMMYFUNCTION("if($G136="""",false, if(isna(match(O$2, split($G136:$G383,"", "",False),0)),false,true))"),FALSE)</f>
        <v>0</v>
      </c>
      <c r="P136" s="53" t="b">
        <f ca="1">IFERROR(__xludf.DUMMYFUNCTION("if($G136="""",false, if(isna(match(P$2, split($G136:$G383,"", "",False),0)),false,true))"),FALSE)</f>
        <v>0</v>
      </c>
      <c r="Q136" s="53" t="b">
        <f ca="1">IFERROR(__xludf.DUMMYFUNCTION("if($G136="""",false, if(isna(match(Q$2, split($G136:$G383,"", "",False),0)),false,true))"),FALSE)</f>
        <v>0</v>
      </c>
      <c r="R136" s="53" t="b">
        <f ca="1">IFERROR(__xludf.DUMMYFUNCTION("if($G136="""",false, if(isna(match(R$2, split($G136:$G383,"", "",False),0)),false,true))"),FALSE)</f>
        <v>0</v>
      </c>
      <c r="S136" s="53" t="b">
        <f ca="1">IFERROR(__xludf.DUMMYFUNCTION("if($G136="""",false, if(isna(match(S$2, split($G136:$G383,"", "",False),0)),false,true))"),FALSE)</f>
        <v>0</v>
      </c>
      <c r="T136" s="53" t="b">
        <f ca="1">IFERROR(__xludf.DUMMYFUNCTION("if($G136="""",false, if(isna(match(T$2, split($G136:$G383,"", "",False),0)),false,true))"),FALSE)</f>
        <v>0</v>
      </c>
      <c r="U136" s="53" t="b">
        <f ca="1">IFERROR(__xludf.DUMMYFUNCTION("if($G136="""",false, if(isna(match(U$2, split($G136:$G383,"", "",False),0)),false,true))"),FALSE)</f>
        <v>0</v>
      </c>
      <c r="V136" s="53" t="b">
        <f ca="1">IFERROR(__xludf.DUMMYFUNCTION("if($G136="""",false, if(isna(match(V$2, split($G136:$G383,"", "",False),0)),false,true))"),FALSE)</f>
        <v>0</v>
      </c>
      <c r="W136" s="57" t="b">
        <f ca="1">IFERROR(__xludf.DUMMYFUNCTION("if($G136="""",false, if(isna(match(W$2, split($G136:$G383,"", "",False),0)),false,true))"),FALSE)</f>
        <v>0</v>
      </c>
    </row>
    <row r="137" spans="1:23" ht="42">
      <c r="A137" s="47" t="s">
        <v>455</v>
      </c>
      <c r="B137" s="48" t="s">
        <v>64</v>
      </c>
      <c r="C137" s="49" t="s">
        <v>419</v>
      </c>
      <c r="D137" s="50" t="s">
        <v>446</v>
      </c>
      <c r="E137" s="49" t="s">
        <v>447</v>
      </c>
      <c r="F137" s="51" t="s">
        <v>456</v>
      </c>
      <c r="G137" s="59" t="s">
        <v>110</v>
      </c>
      <c r="H137" s="53" t="b">
        <f ca="1">IFERROR(__xludf.DUMMYFUNCTION("if($G137="""",false, if(isna(match(H$2, split($G137:$G383,"", "",False),0)),false,true))"),FALSE)</f>
        <v>0</v>
      </c>
      <c r="I137" s="53" t="b">
        <f ca="1">IFERROR(__xludf.DUMMYFUNCTION("if($G137="""",false, if(isna(match(I$2, split($G137:$G383,"", "",False),0)),false,true))"),FALSE)</f>
        <v>0</v>
      </c>
      <c r="J137" s="53" t="b">
        <f ca="1">IFERROR(__xludf.DUMMYFUNCTION("if($G137="""",false, if(isna(match(J$2, split($G137:$G383,"", "",False),0)),false,true))"),TRUE)</f>
        <v>1</v>
      </c>
      <c r="K137" s="53" t="b">
        <f ca="1">IFERROR(__xludf.DUMMYFUNCTION("if($G137="""",false, if(isna(match(K$2, split($G137:$G383,"", "",False),0)),false,true))"),FALSE)</f>
        <v>0</v>
      </c>
      <c r="L137" s="53" t="b">
        <f ca="1">IFERROR(__xludf.DUMMYFUNCTION("if($G137="""",false, if(isna(match(L$2, split($G137:$G383,"", "",False),0)),false,true))"),FALSE)</f>
        <v>0</v>
      </c>
      <c r="M137" s="53" t="b">
        <f ca="1">IFERROR(__xludf.DUMMYFUNCTION("if($G137="""",false, if(isna(match(M$2, split($G137:$G383,"", "",False),0)),false,true))"),FALSE)</f>
        <v>0</v>
      </c>
      <c r="N137" s="53" t="b">
        <f ca="1">IFERROR(__xludf.DUMMYFUNCTION("if($G137="""",false, if(isna(match(N$2, split($G137:$G383,"", "",False),0)),false,true))"),FALSE)</f>
        <v>0</v>
      </c>
      <c r="O137" s="53" t="b">
        <f ca="1">IFERROR(__xludf.DUMMYFUNCTION("if($G137="""",false, if(isna(match(O$2, split($G137:$G383,"", "",False),0)),false,true))"),FALSE)</f>
        <v>0</v>
      </c>
      <c r="P137" s="53" t="b">
        <f ca="1">IFERROR(__xludf.DUMMYFUNCTION("if($G137="""",false, if(isna(match(P$2, split($G137:$G383,"", "",False),0)),false,true))"),FALSE)</f>
        <v>0</v>
      </c>
      <c r="Q137" s="53" t="b">
        <f ca="1">IFERROR(__xludf.DUMMYFUNCTION("if($G137="""",false, if(isna(match(Q$2, split($G137:$G383,"", "",False),0)),false,true))"),FALSE)</f>
        <v>0</v>
      </c>
      <c r="R137" s="53" t="b">
        <f ca="1">IFERROR(__xludf.DUMMYFUNCTION("if($G137="""",false, if(isna(match(R$2, split($G137:$G383,"", "",False),0)),false,true))"),FALSE)</f>
        <v>0</v>
      </c>
      <c r="S137" s="53" t="b">
        <f ca="1">IFERROR(__xludf.DUMMYFUNCTION("if($G137="""",false, if(isna(match(S$2, split($G137:$G383,"", "",False),0)),false,true))"),FALSE)</f>
        <v>0</v>
      </c>
      <c r="T137" s="53" t="b">
        <f ca="1">IFERROR(__xludf.DUMMYFUNCTION("if($G137="""",false, if(isna(match(T$2, split($G137:$G383,"", "",False),0)),false,true))"),FALSE)</f>
        <v>0</v>
      </c>
      <c r="U137" s="53" t="b">
        <f ca="1">IFERROR(__xludf.DUMMYFUNCTION("if($G137="""",false, if(isna(match(U$2, split($G137:$G383,"", "",False),0)),false,true))"),FALSE)</f>
        <v>0</v>
      </c>
      <c r="V137" s="53" t="b">
        <f ca="1">IFERROR(__xludf.DUMMYFUNCTION("if($G137="""",false, if(isna(match(V$2, split($G137:$G383,"", "",False),0)),false,true))"),FALSE)</f>
        <v>0</v>
      </c>
      <c r="W137" s="57" t="b">
        <f ca="1">IFERROR(__xludf.DUMMYFUNCTION("if($G137="""",false, if(isna(match(W$2, split($G137:$G383,"", "",False),0)),false,true))"),FALSE)</f>
        <v>0</v>
      </c>
    </row>
    <row r="138" spans="1:23" ht="42">
      <c r="A138" s="47" t="s">
        <v>457</v>
      </c>
      <c r="B138" s="48" t="s">
        <v>64</v>
      </c>
      <c r="C138" s="49" t="s">
        <v>419</v>
      </c>
      <c r="D138" s="50" t="s">
        <v>446</v>
      </c>
      <c r="E138" s="49" t="s">
        <v>447</v>
      </c>
      <c r="F138" s="51" t="s">
        <v>458</v>
      </c>
      <c r="G138" s="59" t="s">
        <v>110</v>
      </c>
      <c r="H138" s="53" t="b">
        <f ca="1">IFERROR(__xludf.DUMMYFUNCTION("if($G138="""",false, if(isna(match(H$2, split($G138:$G383,"", "",False),0)),false,true))"),FALSE)</f>
        <v>0</v>
      </c>
      <c r="I138" s="53" t="b">
        <f ca="1">IFERROR(__xludf.DUMMYFUNCTION("if($G138="""",false, if(isna(match(I$2, split($G138:$G383,"", "",False),0)),false,true))"),FALSE)</f>
        <v>0</v>
      </c>
      <c r="J138" s="53" t="b">
        <f ca="1">IFERROR(__xludf.DUMMYFUNCTION("if($G138="""",false, if(isna(match(J$2, split($G138:$G383,"", "",False),0)),false,true))"),TRUE)</f>
        <v>1</v>
      </c>
      <c r="K138" s="53" t="b">
        <f ca="1">IFERROR(__xludf.DUMMYFUNCTION("if($G138="""",false, if(isna(match(K$2, split($G138:$G383,"", "",False),0)),false,true))"),FALSE)</f>
        <v>0</v>
      </c>
      <c r="L138" s="53" t="b">
        <f ca="1">IFERROR(__xludf.DUMMYFUNCTION("if($G138="""",false, if(isna(match(L$2, split($G138:$G383,"", "",False),0)),false,true))"),FALSE)</f>
        <v>0</v>
      </c>
      <c r="M138" s="53" t="b">
        <f ca="1">IFERROR(__xludf.DUMMYFUNCTION("if($G138="""",false, if(isna(match(M$2, split($G138:$G383,"", "",False),0)),false,true))"),FALSE)</f>
        <v>0</v>
      </c>
      <c r="N138" s="53" t="b">
        <f ca="1">IFERROR(__xludf.DUMMYFUNCTION("if($G138="""",false, if(isna(match(N$2, split($G138:$G383,"", "",False),0)),false,true))"),FALSE)</f>
        <v>0</v>
      </c>
      <c r="O138" s="53" t="b">
        <f ca="1">IFERROR(__xludf.DUMMYFUNCTION("if($G138="""",false, if(isna(match(O$2, split($G138:$G383,"", "",False),0)),false,true))"),FALSE)</f>
        <v>0</v>
      </c>
      <c r="P138" s="53" t="b">
        <f ca="1">IFERROR(__xludf.DUMMYFUNCTION("if($G138="""",false, if(isna(match(P$2, split($G138:$G383,"", "",False),0)),false,true))"),FALSE)</f>
        <v>0</v>
      </c>
      <c r="Q138" s="53" t="b">
        <f ca="1">IFERROR(__xludf.DUMMYFUNCTION("if($G138="""",false, if(isna(match(Q$2, split($G138:$G383,"", "",False),0)),false,true))"),FALSE)</f>
        <v>0</v>
      </c>
      <c r="R138" s="53" t="b">
        <f ca="1">IFERROR(__xludf.DUMMYFUNCTION("if($G138="""",false, if(isna(match(R$2, split($G138:$G383,"", "",False),0)),false,true))"),FALSE)</f>
        <v>0</v>
      </c>
      <c r="S138" s="53" t="b">
        <f ca="1">IFERROR(__xludf.DUMMYFUNCTION("if($G138="""",false, if(isna(match(S$2, split($G138:$G383,"", "",False),0)),false,true))"),FALSE)</f>
        <v>0</v>
      </c>
      <c r="T138" s="53" t="b">
        <f ca="1">IFERROR(__xludf.DUMMYFUNCTION("if($G138="""",false, if(isna(match(T$2, split($G138:$G383,"", "",False),0)),false,true))"),FALSE)</f>
        <v>0</v>
      </c>
      <c r="U138" s="53" t="b">
        <f ca="1">IFERROR(__xludf.DUMMYFUNCTION("if($G138="""",false, if(isna(match(U$2, split($G138:$G383,"", "",False),0)),false,true))"),FALSE)</f>
        <v>0</v>
      </c>
      <c r="V138" s="53" t="b">
        <f ca="1">IFERROR(__xludf.DUMMYFUNCTION("if($G138="""",false, if(isna(match(V$2, split($G138:$G383,"", "",False),0)),false,true))"),FALSE)</f>
        <v>0</v>
      </c>
      <c r="W138" s="57" t="b">
        <f ca="1">IFERROR(__xludf.DUMMYFUNCTION("if($G138="""",false, if(isna(match(W$2, split($G138:$G383,"", "",False),0)),false,true))"),FALSE)</f>
        <v>0</v>
      </c>
    </row>
    <row r="139" spans="1:23" ht="28">
      <c r="A139" s="47" t="s">
        <v>459</v>
      </c>
      <c r="B139" s="48" t="s">
        <v>64</v>
      </c>
      <c r="C139" s="49" t="s">
        <v>419</v>
      </c>
      <c r="D139" s="50" t="s">
        <v>446</v>
      </c>
      <c r="E139" s="49" t="s">
        <v>460</v>
      </c>
      <c r="F139" s="51" t="s">
        <v>461</v>
      </c>
      <c r="G139" s="59" t="s">
        <v>110</v>
      </c>
      <c r="H139" s="53" t="b">
        <f ca="1">IFERROR(__xludf.DUMMYFUNCTION("if($G139="""",false, if(isna(match(H$2, split($G139:$G383,"", "",False),0)),false,true))"),FALSE)</f>
        <v>0</v>
      </c>
      <c r="I139" s="53" t="b">
        <f ca="1">IFERROR(__xludf.DUMMYFUNCTION("if($G139="""",false, if(isna(match(I$2, split($G139:$G383,"", "",False),0)),false,true))"),FALSE)</f>
        <v>0</v>
      </c>
      <c r="J139" s="53" t="b">
        <f ca="1">IFERROR(__xludf.DUMMYFUNCTION("if($G139="""",false, if(isna(match(J$2, split($G139:$G383,"", "",False),0)),false,true))"),TRUE)</f>
        <v>1</v>
      </c>
      <c r="K139" s="53" t="b">
        <f ca="1">IFERROR(__xludf.DUMMYFUNCTION("if($G139="""",false, if(isna(match(K$2, split($G139:$G383,"", "",False),0)),false,true))"),FALSE)</f>
        <v>0</v>
      </c>
      <c r="L139" s="53" t="b">
        <f ca="1">IFERROR(__xludf.DUMMYFUNCTION("if($G139="""",false, if(isna(match(L$2, split($G139:$G383,"", "",False),0)),false,true))"),FALSE)</f>
        <v>0</v>
      </c>
      <c r="M139" s="53" t="b">
        <f ca="1">IFERROR(__xludf.DUMMYFUNCTION("if($G139="""",false, if(isna(match(M$2, split($G139:$G383,"", "",False),0)),false,true))"),FALSE)</f>
        <v>0</v>
      </c>
      <c r="N139" s="53" t="b">
        <f ca="1">IFERROR(__xludf.DUMMYFUNCTION("if($G139="""",false, if(isna(match(N$2, split($G139:$G383,"", "",False),0)),false,true))"),FALSE)</f>
        <v>0</v>
      </c>
      <c r="O139" s="53" t="b">
        <f ca="1">IFERROR(__xludf.DUMMYFUNCTION("if($G139="""",false, if(isna(match(O$2, split($G139:$G383,"", "",False),0)),false,true))"),FALSE)</f>
        <v>0</v>
      </c>
      <c r="P139" s="53" t="b">
        <f ca="1">IFERROR(__xludf.DUMMYFUNCTION("if($G139="""",false, if(isna(match(P$2, split($G139:$G383,"", "",False),0)),false,true))"),FALSE)</f>
        <v>0</v>
      </c>
      <c r="Q139" s="53" t="b">
        <f ca="1">IFERROR(__xludf.DUMMYFUNCTION("if($G139="""",false, if(isna(match(Q$2, split($G139:$G383,"", "",False),0)),false,true))"),FALSE)</f>
        <v>0</v>
      </c>
      <c r="R139" s="53" t="b">
        <f ca="1">IFERROR(__xludf.DUMMYFUNCTION("if($G139="""",false, if(isna(match(R$2, split($G139:$G383,"", "",False),0)),false,true))"),FALSE)</f>
        <v>0</v>
      </c>
      <c r="S139" s="53" t="b">
        <f ca="1">IFERROR(__xludf.DUMMYFUNCTION("if($G139="""",false, if(isna(match(S$2, split($G139:$G383,"", "",False),0)),false,true))"),FALSE)</f>
        <v>0</v>
      </c>
      <c r="T139" s="53" t="b">
        <f ca="1">IFERROR(__xludf.DUMMYFUNCTION("if($G139="""",false, if(isna(match(T$2, split($G139:$G383,"", "",False),0)),false,true))"),FALSE)</f>
        <v>0</v>
      </c>
      <c r="U139" s="53" t="b">
        <f ca="1">IFERROR(__xludf.DUMMYFUNCTION("if($G139="""",false, if(isna(match(U$2, split($G139:$G383,"", "",False),0)),false,true))"),FALSE)</f>
        <v>0</v>
      </c>
      <c r="V139" s="53" t="b">
        <f ca="1">IFERROR(__xludf.DUMMYFUNCTION("if($G139="""",false, if(isna(match(V$2, split($G139:$G383,"", "",False),0)),false,true))"),FALSE)</f>
        <v>0</v>
      </c>
      <c r="W139" s="57" t="b">
        <f ca="1">IFERROR(__xludf.DUMMYFUNCTION("if($G139="""",false, if(isna(match(W$2, split($G139:$G383,"", "",False),0)),false,true))"),FALSE)</f>
        <v>0</v>
      </c>
    </row>
    <row r="140" spans="1:23" ht="42">
      <c r="A140" s="47" t="s">
        <v>462</v>
      </c>
      <c r="B140" s="48" t="s">
        <v>64</v>
      </c>
      <c r="C140" s="49" t="s">
        <v>419</v>
      </c>
      <c r="D140" s="50" t="s">
        <v>446</v>
      </c>
      <c r="E140" s="49" t="s">
        <v>460</v>
      </c>
      <c r="F140" s="51" t="s">
        <v>463</v>
      </c>
      <c r="G140" s="59" t="s">
        <v>110</v>
      </c>
      <c r="H140" s="53" t="b">
        <f ca="1">IFERROR(__xludf.DUMMYFUNCTION("if($G140="""",false, if(isna(match(H$2, split($G140:$G383,"", "",False),0)),false,true))"),FALSE)</f>
        <v>0</v>
      </c>
      <c r="I140" s="53" t="b">
        <f ca="1">IFERROR(__xludf.DUMMYFUNCTION("if($G140="""",false, if(isna(match(I$2, split($G140:$G383,"", "",False),0)),false,true))"),FALSE)</f>
        <v>0</v>
      </c>
      <c r="J140" s="53" t="b">
        <f ca="1">IFERROR(__xludf.DUMMYFUNCTION("if($G140="""",false, if(isna(match(J$2, split($G140:$G383,"", "",False),0)),false,true))"),TRUE)</f>
        <v>1</v>
      </c>
      <c r="K140" s="53" t="b">
        <f ca="1">IFERROR(__xludf.DUMMYFUNCTION("if($G140="""",false, if(isna(match(K$2, split($G140:$G383,"", "",False),0)),false,true))"),FALSE)</f>
        <v>0</v>
      </c>
      <c r="L140" s="53" t="b">
        <f ca="1">IFERROR(__xludf.DUMMYFUNCTION("if($G140="""",false, if(isna(match(L$2, split($G140:$G383,"", "",False),0)),false,true))"),FALSE)</f>
        <v>0</v>
      </c>
      <c r="M140" s="53" t="b">
        <f ca="1">IFERROR(__xludf.DUMMYFUNCTION("if($G140="""",false, if(isna(match(M$2, split($G140:$G383,"", "",False),0)),false,true))"),FALSE)</f>
        <v>0</v>
      </c>
      <c r="N140" s="53" t="b">
        <f ca="1">IFERROR(__xludf.DUMMYFUNCTION("if($G140="""",false, if(isna(match(N$2, split($G140:$G383,"", "",False),0)),false,true))"),FALSE)</f>
        <v>0</v>
      </c>
      <c r="O140" s="53" t="b">
        <f ca="1">IFERROR(__xludf.DUMMYFUNCTION("if($G140="""",false, if(isna(match(O$2, split($G140:$G383,"", "",False),0)),false,true))"),FALSE)</f>
        <v>0</v>
      </c>
      <c r="P140" s="53" t="b">
        <f ca="1">IFERROR(__xludf.DUMMYFUNCTION("if($G140="""",false, if(isna(match(P$2, split($G140:$G383,"", "",False),0)),false,true))"),FALSE)</f>
        <v>0</v>
      </c>
      <c r="Q140" s="53" t="b">
        <f ca="1">IFERROR(__xludf.DUMMYFUNCTION("if($G140="""",false, if(isna(match(Q$2, split($G140:$G383,"", "",False),0)),false,true))"),FALSE)</f>
        <v>0</v>
      </c>
      <c r="R140" s="53" t="b">
        <f ca="1">IFERROR(__xludf.DUMMYFUNCTION("if($G140="""",false, if(isna(match(R$2, split($G140:$G383,"", "",False),0)),false,true))"),FALSE)</f>
        <v>0</v>
      </c>
      <c r="S140" s="53" t="b">
        <f ca="1">IFERROR(__xludf.DUMMYFUNCTION("if($G140="""",false, if(isna(match(S$2, split($G140:$G383,"", "",False),0)),false,true))"),FALSE)</f>
        <v>0</v>
      </c>
      <c r="T140" s="53" t="b">
        <f ca="1">IFERROR(__xludf.DUMMYFUNCTION("if($G140="""",false, if(isna(match(T$2, split($G140:$G383,"", "",False),0)),false,true))"),FALSE)</f>
        <v>0</v>
      </c>
      <c r="U140" s="53" t="b">
        <f ca="1">IFERROR(__xludf.DUMMYFUNCTION("if($G140="""",false, if(isna(match(U$2, split($G140:$G383,"", "",False),0)),false,true))"),FALSE)</f>
        <v>0</v>
      </c>
      <c r="V140" s="53" t="b">
        <f ca="1">IFERROR(__xludf.DUMMYFUNCTION("if($G140="""",false, if(isna(match(V$2, split($G140:$G383,"", "",False),0)),false,true))"),FALSE)</f>
        <v>0</v>
      </c>
      <c r="W140" s="57" t="b">
        <f ca="1">IFERROR(__xludf.DUMMYFUNCTION("if($G140="""",false, if(isna(match(W$2, split($G140:$G383,"", "",False),0)),false,true))"),FALSE)</f>
        <v>0</v>
      </c>
    </row>
    <row r="141" spans="1:23" ht="42">
      <c r="A141" s="47" t="s">
        <v>464</v>
      </c>
      <c r="B141" s="48" t="s">
        <v>64</v>
      </c>
      <c r="C141" s="49" t="s">
        <v>419</v>
      </c>
      <c r="D141" s="50" t="s">
        <v>446</v>
      </c>
      <c r="E141" s="49" t="s">
        <v>460</v>
      </c>
      <c r="F141" s="51" t="s">
        <v>465</v>
      </c>
      <c r="G141" s="59" t="s">
        <v>110</v>
      </c>
      <c r="H141" s="53" t="b">
        <f ca="1">IFERROR(__xludf.DUMMYFUNCTION("if($G141="""",false, if(isna(match(H$2, split($G141:$G383,"", "",False),0)),false,true))"),FALSE)</f>
        <v>0</v>
      </c>
      <c r="I141" s="53" t="b">
        <f ca="1">IFERROR(__xludf.DUMMYFUNCTION("if($G141="""",false, if(isna(match(I$2, split($G141:$G383,"", "",False),0)),false,true))"),FALSE)</f>
        <v>0</v>
      </c>
      <c r="J141" s="53" t="b">
        <f ca="1">IFERROR(__xludf.DUMMYFUNCTION("if($G141="""",false, if(isna(match(J$2, split($G141:$G383,"", "",False),0)),false,true))"),TRUE)</f>
        <v>1</v>
      </c>
      <c r="K141" s="53" t="b">
        <f ca="1">IFERROR(__xludf.DUMMYFUNCTION("if($G141="""",false, if(isna(match(K$2, split($G141:$G383,"", "",False),0)),false,true))"),FALSE)</f>
        <v>0</v>
      </c>
      <c r="L141" s="53" t="b">
        <f ca="1">IFERROR(__xludf.DUMMYFUNCTION("if($G141="""",false, if(isna(match(L$2, split($G141:$G383,"", "",False),0)),false,true))"),FALSE)</f>
        <v>0</v>
      </c>
      <c r="M141" s="53" t="b">
        <f ca="1">IFERROR(__xludf.DUMMYFUNCTION("if($G141="""",false, if(isna(match(M$2, split($G141:$G383,"", "",False),0)),false,true))"),FALSE)</f>
        <v>0</v>
      </c>
      <c r="N141" s="53" t="b">
        <f ca="1">IFERROR(__xludf.DUMMYFUNCTION("if($G141="""",false, if(isna(match(N$2, split($G141:$G383,"", "",False),0)),false,true))"),FALSE)</f>
        <v>0</v>
      </c>
      <c r="O141" s="53" t="b">
        <f ca="1">IFERROR(__xludf.DUMMYFUNCTION("if($G141="""",false, if(isna(match(O$2, split($G141:$G383,"", "",False),0)),false,true))"),FALSE)</f>
        <v>0</v>
      </c>
      <c r="P141" s="53" t="b">
        <f ca="1">IFERROR(__xludf.DUMMYFUNCTION("if($G141="""",false, if(isna(match(P$2, split($G141:$G383,"", "",False),0)),false,true))"),FALSE)</f>
        <v>0</v>
      </c>
      <c r="Q141" s="53" t="b">
        <f ca="1">IFERROR(__xludf.DUMMYFUNCTION("if($G141="""",false, if(isna(match(Q$2, split($G141:$G383,"", "",False),0)),false,true))"),FALSE)</f>
        <v>0</v>
      </c>
      <c r="R141" s="53" t="b">
        <f ca="1">IFERROR(__xludf.DUMMYFUNCTION("if($G141="""",false, if(isna(match(R$2, split($G141:$G383,"", "",False),0)),false,true))"),FALSE)</f>
        <v>0</v>
      </c>
      <c r="S141" s="53" t="b">
        <f ca="1">IFERROR(__xludf.DUMMYFUNCTION("if($G141="""",false, if(isna(match(S$2, split($G141:$G383,"", "",False),0)),false,true))"),FALSE)</f>
        <v>0</v>
      </c>
      <c r="T141" s="53" t="b">
        <f ca="1">IFERROR(__xludf.DUMMYFUNCTION("if($G141="""",false, if(isna(match(T$2, split($G141:$G383,"", "",False),0)),false,true))"),FALSE)</f>
        <v>0</v>
      </c>
      <c r="U141" s="53" t="b">
        <f ca="1">IFERROR(__xludf.DUMMYFUNCTION("if($G141="""",false, if(isna(match(U$2, split($G141:$G383,"", "",False),0)),false,true))"),FALSE)</f>
        <v>0</v>
      </c>
      <c r="V141" s="53" t="b">
        <f ca="1">IFERROR(__xludf.DUMMYFUNCTION("if($G141="""",false, if(isna(match(V$2, split($G141:$G383,"", "",False),0)),false,true))"),FALSE)</f>
        <v>0</v>
      </c>
      <c r="W141" s="57" t="b">
        <f ca="1">IFERROR(__xludf.DUMMYFUNCTION("if($G141="""",false, if(isna(match(W$2, split($G141:$G383,"", "",False),0)),false,true))"),FALSE)</f>
        <v>0</v>
      </c>
    </row>
    <row r="142" spans="1:23" ht="42">
      <c r="A142" s="47" t="s">
        <v>466</v>
      </c>
      <c r="B142" s="48" t="s">
        <v>64</v>
      </c>
      <c r="C142" s="49" t="s">
        <v>419</v>
      </c>
      <c r="D142" s="50" t="s">
        <v>446</v>
      </c>
      <c r="E142" s="49" t="s">
        <v>460</v>
      </c>
      <c r="F142" s="51" t="s">
        <v>467</v>
      </c>
      <c r="G142" s="59" t="s">
        <v>110</v>
      </c>
      <c r="H142" s="53" t="b">
        <f ca="1">IFERROR(__xludf.DUMMYFUNCTION("if($G142="""",false, if(isna(match(H$2, split($G142:$G383,"", "",False),0)),false,true))"),FALSE)</f>
        <v>0</v>
      </c>
      <c r="I142" s="53" t="b">
        <f ca="1">IFERROR(__xludf.DUMMYFUNCTION("if($G142="""",false, if(isna(match(I$2, split($G142:$G383,"", "",False),0)),false,true))"),FALSE)</f>
        <v>0</v>
      </c>
      <c r="J142" s="53" t="b">
        <f ca="1">IFERROR(__xludf.DUMMYFUNCTION("if($G142="""",false, if(isna(match(J$2, split($G142:$G383,"", "",False),0)),false,true))"),TRUE)</f>
        <v>1</v>
      </c>
      <c r="K142" s="53" t="b">
        <f ca="1">IFERROR(__xludf.DUMMYFUNCTION("if($G142="""",false, if(isna(match(K$2, split($G142:$G383,"", "",False),0)),false,true))"),FALSE)</f>
        <v>0</v>
      </c>
      <c r="L142" s="53" t="b">
        <f ca="1">IFERROR(__xludf.DUMMYFUNCTION("if($G142="""",false, if(isna(match(L$2, split($G142:$G383,"", "",False),0)),false,true))"),FALSE)</f>
        <v>0</v>
      </c>
      <c r="M142" s="53" t="b">
        <f ca="1">IFERROR(__xludf.DUMMYFUNCTION("if($G142="""",false, if(isna(match(M$2, split($G142:$G383,"", "",False),0)),false,true))"),FALSE)</f>
        <v>0</v>
      </c>
      <c r="N142" s="53" t="b">
        <f ca="1">IFERROR(__xludf.DUMMYFUNCTION("if($G142="""",false, if(isna(match(N$2, split($G142:$G383,"", "",False),0)),false,true))"),FALSE)</f>
        <v>0</v>
      </c>
      <c r="O142" s="53" t="b">
        <f ca="1">IFERROR(__xludf.DUMMYFUNCTION("if($G142="""",false, if(isna(match(O$2, split($G142:$G383,"", "",False),0)),false,true))"),FALSE)</f>
        <v>0</v>
      </c>
      <c r="P142" s="53" t="b">
        <f ca="1">IFERROR(__xludf.DUMMYFUNCTION("if($G142="""",false, if(isna(match(P$2, split($G142:$G383,"", "",False),0)),false,true))"),FALSE)</f>
        <v>0</v>
      </c>
      <c r="Q142" s="53" t="b">
        <f ca="1">IFERROR(__xludf.DUMMYFUNCTION("if($G142="""",false, if(isna(match(Q$2, split($G142:$G383,"", "",False),0)),false,true))"),FALSE)</f>
        <v>0</v>
      </c>
      <c r="R142" s="53" t="b">
        <f ca="1">IFERROR(__xludf.DUMMYFUNCTION("if($G142="""",false, if(isna(match(R$2, split($G142:$G383,"", "",False),0)),false,true))"),FALSE)</f>
        <v>0</v>
      </c>
      <c r="S142" s="53" t="b">
        <f ca="1">IFERROR(__xludf.DUMMYFUNCTION("if($G142="""",false, if(isna(match(S$2, split($G142:$G383,"", "",False),0)),false,true))"),FALSE)</f>
        <v>0</v>
      </c>
      <c r="T142" s="53" t="b">
        <f ca="1">IFERROR(__xludf.DUMMYFUNCTION("if($G142="""",false, if(isna(match(T$2, split($G142:$G383,"", "",False),0)),false,true))"),FALSE)</f>
        <v>0</v>
      </c>
      <c r="U142" s="53" t="b">
        <f ca="1">IFERROR(__xludf.DUMMYFUNCTION("if($G142="""",false, if(isna(match(U$2, split($G142:$G383,"", "",False),0)),false,true))"),FALSE)</f>
        <v>0</v>
      </c>
      <c r="V142" s="53" t="b">
        <f ca="1">IFERROR(__xludf.DUMMYFUNCTION("if($G142="""",false, if(isna(match(V$2, split($G142:$G383,"", "",False),0)),false,true))"),FALSE)</f>
        <v>0</v>
      </c>
      <c r="W142" s="57" t="b">
        <f ca="1">IFERROR(__xludf.DUMMYFUNCTION("if($G142="""",false, if(isna(match(W$2, split($G142:$G383,"", "",False),0)),false,true))"),FALSE)</f>
        <v>0</v>
      </c>
    </row>
    <row r="143" spans="1:23" ht="70">
      <c r="A143" s="47" t="s">
        <v>468</v>
      </c>
      <c r="B143" s="48" t="s">
        <v>64</v>
      </c>
      <c r="C143" s="49" t="s">
        <v>419</v>
      </c>
      <c r="D143" s="50" t="s">
        <v>446</v>
      </c>
      <c r="E143" s="49" t="s">
        <v>469</v>
      </c>
      <c r="F143" s="51" t="s">
        <v>470</v>
      </c>
      <c r="G143" s="59" t="s">
        <v>110</v>
      </c>
      <c r="H143" s="53" t="b">
        <f ca="1">IFERROR(__xludf.DUMMYFUNCTION("if($G143="""",false, if(isna(match(H$2, split($G143:$G383,"", "",False),0)),false,true))"),FALSE)</f>
        <v>0</v>
      </c>
      <c r="I143" s="53" t="b">
        <f ca="1">IFERROR(__xludf.DUMMYFUNCTION("if($G143="""",false, if(isna(match(I$2, split($G143:$G383,"", "",False),0)),false,true))"),FALSE)</f>
        <v>0</v>
      </c>
      <c r="J143" s="53" t="b">
        <f ca="1">IFERROR(__xludf.DUMMYFUNCTION("if($G143="""",false, if(isna(match(J$2, split($G143:$G383,"", "",False),0)),false,true))"),TRUE)</f>
        <v>1</v>
      </c>
      <c r="K143" s="53" t="b">
        <f ca="1">IFERROR(__xludf.DUMMYFUNCTION("if($G143="""",false, if(isna(match(K$2, split($G143:$G383,"", "",False),0)),false,true))"),FALSE)</f>
        <v>0</v>
      </c>
      <c r="L143" s="53" t="b">
        <f ca="1">IFERROR(__xludf.DUMMYFUNCTION("if($G143="""",false, if(isna(match(L$2, split($G143:$G383,"", "",False),0)),false,true))"),FALSE)</f>
        <v>0</v>
      </c>
      <c r="M143" s="53" t="b">
        <f ca="1">IFERROR(__xludf.DUMMYFUNCTION("if($G143="""",false, if(isna(match(M$2, split($G143:$G383,"", "",False),0)),false,true))"),FALSE)</f>
        <v>0</v>
      </c>
      <c r="N143" s="53" t="b">
        <f ca="1">IFERROR(__xludf.DUMMYFUNCTION("if($G143="""",false, if(isna(match(N$2, split($G143:$G383,"", "",False),0)),false,true))"),FALSE)</f>
        <v>0</v>
      </c>
      <c r="O143" s="53" t="b">
        <f ca="1">IFERROR(__xludf.DUMMYFUNCTION("if($G143="""",false, if(isna(match(O$2, split($G143:$G383,"", "",False),0)),false,true))"),FALSE)</f>
        <v>0</v>
      </c>
      <c r="P143" s="53" t="b">
        <f ca="1">IFERROR(__xludf.DUMMYFUNCTION("if($G143="""",false, if(isna(match(P$2, split($G143:$G383,"", "",False),0)),false,true))"),FALSE)</f>
        <v>0</v>
      </c>
      <c r="Q143" s="53" t="b">
        <f ca="1">IFERROR(__xludf.DUMMYFUNCTION("if($G143="""",false, if(isna(match(Q$2, split($G143:$G383,"", "",False),0)),false,true))"),FALSE)</f>
        <v>0</v>
      </c>
      <c r="R143" s="53" t="b">
        <f ca="1">IFERROR(__xludf.DUMMYFUNCTION("if($G143="""",false, if(isna(match(R$2, split($G143:$G383,"", "",False),0)),false,true))"),FALSE)</f>
        <v>0</v>
      </c>
      <c r="S143" s="53" t="b">
        <f ca="1">IFERROR(__xludf.DUMMYFUNCTION("if($G143="""",false, if(isna(match(S$2, split($G143:$G383,"", "",False),0)),false,true))"),FALSE)</f>
        <v>0</v>
      </c>
      <c r="T143" s="53" t="b">
        <f ca="1">IFERROR(__xludf.DUMMYFUNCTION("if($G143="""",false, if(isna(match(T$2, split($G143:$G383,"", "",False),0)),false,true))"),FALSE)</f>
        <v>0</v>
      </c>
      <c r="U143" s="53" t="b">
        <f ca="1">IFERROR(__xludf.DUMMYFUNCTION("if($G143="""",false, if(isna(match(U$2, split($G143:$G383,"", "",False),0)),false,true))"),FALSE)</f>
        <v>0</v>
      </c>
      <c r="V143" s="53" t="b">
        <f ca="1">IFERROR(__xludf.DUMMYFUNCTION("if($G143="""",false, if(isna(match(V$2, split($G143:$G383,"", "",False),0)),false,true))"),FALSE)</f>
        <v>0</v>
      </c>
      <c r="W143" s="57" t="b">
        <f ca="1">IFERROR(__xludf.DUMMYFUNCTION("if($G143="""",false, if(isna(match(W$2, split($G143:$G383,"", "",False),0)),false,true))"),FALSE)</f>
        <v>0</v>
      </c>
    </row>
    <row r="144" spans="1:23" ht="42">
      <c r="A144" s="47" t="s">
        <v>471</v>
      </c>
      <c r="B144" s="48" t="s">
        <v>64</v>
      </c>
      <c r="C144" s="49" t="s">
        <v>419</v>
      </c>
      <c r="D144" s="50" t="s">
        <v>446</v>
      </c>
      <c r="E144" s="49" t="s">
        <v>469</v>
      </c>
      <c r="F144" s="51" t="s">
        <v>472</v>
      </c>
      <c r="G144" s="59"/>
      <c r="H144" s="53" t="b">
        <f ca="1">IFERROR(__xludf.DUMMYFUNCTION("if($G144="""",false, if(isna(match(H$2, split($G144:$G383,"", "",False),0)),false,true))"),FALSE)</f>
        <v>0</v>
      </c>
      <c r="I144" s="53" t="b">
        <f ca="1">IFERROR(__xludf.DUMMYFUNCTION("if($G144="""",false, if(isna(match(I$2, split($G144:$G383,"", "",False),0)),false,true))"),FALSE)</f>
        <v>0</v>
      </c>
      <c r="J144" s="53" t="b">
        <f ca="1">IFERROR(__xludf.DUMMYFUNCTION("if($G144="""",false, if(isna(match(J$2, split($G144:$G383,"", "",False),0)),false,true))"),FALSE)</f>
        <v>0</v>
      </c>
      <c r="K144" s="53" t="b">
        <f ca="1">IFERROR(__xludf.DUMMYFUNCTION("if($G144="""",false, if(isna(match(K$2, split($G144:$G383,"", "",False),0)),false,true))"),FALSE)</f>
        <v>0</v>
      </c>
      <c r="L144" s="53" t="b">
        <f ca="1">IFERROR(__xludf.DUMMYFUNCTION("if($G144="""",false, if(isna(match(L$2, split($G144:$G383,"", "",False),0)),false,true))"),FALSE)</f>
        <v>0</v>
      </c>
      <c r="M144" s="53" t="b">
        <f ca="1">IFERROR(__xludf.DUMMYFUNCTION("if($G144="""",false, if(isna(match(M$2, split($G144:$G383,"", "",False),0)),false,true))"),FALSE)</f>
        <v>0</v>
      </c>
      <c r="N144" s="53" t="b">
        <f ca="1">IFERROR(__xludf.DUMMYFUNCTION("if($G144="""",false, if(isna(match(N$2, split($G144:$G383,"", "",False),0)),false,true))"),FALSE)</f>
        <v>0</v>
      </c>
      <c r="O144" s="53" t="b">
        <f ca="1">IFERROR(__xludf.DUMMYFUNCTION("if($G144="""",false, if(isna(match(O$2, split($G144:$G383,"", "",False),0)),false,true))"),FALSE)</f>
        <v>0</v>
      </c>
      <c r="P144" s="53" t="b">
        <f ca="1">IFERROR(__xludf.DUMMYFUNCTION("if($G144="""",false, if(isna(match(P$2, split($G144:$G383,"", "",False),0)),false,true))"),FALSE)</f>
        <v>0</v>
      </c>
      <c r="Q144" s="53" t="b">
        <f ca="1">IFERROR(__xludf.DUMMYFUNCTION("if($G144="""",false, if(isna(match(Q$2, split($G144:$G383,"", "",False),0)),false,true))"),FALSE)</f>
        <v>0</v>
      </c>
      <c r="R144" s="53" t="b">
        <f ca="1">IFERROR(__xludf.DUMMYFUNCTION("if($G144="""",false, if(isna(match(R$2, split($G144:$G383,"", "",False),0)),false,true))"),FALSE)</f>
        <v>0</v>
      </c>
      <c r="S144" s="53" t="b">
        <f ca="1">IFERROR(__xludf.DUMMYFUNCTION("if($G144="""",false, if(isna(match(S$2, split($G144:$G383,"", "",False),0)),false,true))"),FALSE)</f>
        <v>0</v>
      </c>
      <c r="T144" s="53" t="b">
        <f ca="1">IFERROR(__xludf.DUMMYFUNCTION("if($G144="""",false, if(isna(match(T$2, split($G144:$G383,"", "",False),0)),false,true))"),FALSE)</f>
        <v>0</v>
      </c>
      <c r="U144" s="53" t="b">
        <f ca="1">IFERROR(__xludf.DUMMYFUNCTION("if($G144="""",false, if(isna(match(U$2, split($G144:$G383,"", "",False),0)),false,true))"),FALSE)</f>
        <v>0</v>
      </c>
      <c r="V144" s="53" t="b">
        <f ca="1">IFERROR(__xludf.DUMMYFUNCTION("if($G144="""",false, if(isna(match(V$2, split($G144:$G383,"", "",False),0)),false,true))"),FALSE)</f>
        <v>0</v>
      </c>
      <c r="W144" s="57" t="b">
        <f ca="1">IFERROR(__xludf.DUMMYFUNCTION("if($G144="""",false, if(isna(match(W$2, split($G144:$G383,"", "",False),0)),false,true))"),FALSE)</f>
        <v>0</v>
      </c>
    </row>
    <row r="145" spans="1:23" ht="70">
      <c r="A145" s="47" t="s">
        <v>473</v>
      </c>
      <c r="B145" s="48" t="s">
        <v>64</v>
      </c>
      <c r="C145" s="49" t="s">
        <v>419</v>
      </c>
      <c r="D145" s="50" t="s">
        <v>474</v>
      </c>
      <c r="E145" s="49" t="s">
        <v>73</v>
      </c>
      <c r="F145" s="51" t="s">
        <v>475</v>
      </c>
      <c r="G145" s="59" t="s">
        <v>109</v>
      </c>
      <c r="H145" s="53" t="b">
        <f ca="1">IFERROR(__xludf.DUMMYFUNCTION("if($G145="""",false, if(isna(match(H$2, split($G145:$G383,"", "",False),0)),false,true))"),FALSE)</f>
        <v>0</v>
      </c>
      <c r="I145" s="53" t="b">
        <f ca="1">IFERROR(__xludf.DUMMYFUNCTION("if($G145="""",false, if(isna(match(I$2, split($G145:$G383,"", "",False),0)),false,true))"),TRUE)</f>
        <v>1</v>
      </c>
      <c r="J145" s="53" t="b">
        <f ca="1">IFERROR(__xludf.DUMMYFUNCTION("if($G145="""",false, if(isna(match(J$2, split($G145:$G383,"", "",False),0)),false,true))"),FALSE)</f>
        <v>0</v>
      </c>
      <c r="K145" s="53" t="b">
        <f ca="1">IFERROR(__xludf.DUMMYFUNCTION("if($G145="""",false, if(isna(match(K$2, split($G145:$G383,"", "",False),0)),false,true))"),FALSE)</f>
        <v>0</v>
      </c>
      <c r="L145" s="53" t="b">
        <f ca="1">IFERROR(__xludf.DUMMYFUNCTION("if($G145="""",false, if(isna(match(L$2, split($G145:$G383,"", "",False),0)),false,true))"),FALSE)</f>
        <v>0</v>
      </c>
      <c r="M145" s="53" t="b">
        <f ca="1">IFERROR(__xludf.DUMMYFUNCTION("if($G145="""",false, if(isna(match(M$2, split($G145:$G383,"", "",False),0)),false,true))"),FALSE)</f>
        <v>0</v>
      </c>
      <c r="N145" s="53" t="b">
        <f ca="1">IFERROR(__xludf.DUMMYFUNCTION("if($G145="""",false, if(isna(match(N$2, split($G145:$G383,"", "",False),0)),false,true))"),FALSE)</f>
        <v>0</v>
      </c>
      <c r="O145" s="53" t="b">
        <f ca="1">IFERROR(__xludf.DUMMYFUNCTION("if($G145="""",false, if(isna(match(O$2, split($G145:$G383,"", "",False),0)),false,true))"),FALSE)</f>
        <v>0</v>
      </c>
      <c r="P145" s="53" t="b">
        <f ca="1">IFERROR(__xludf.DUMMYFUNCTION("if($G145="""",false, if(isna(match(P$2, split($G145:$G383,"", "",False),0)),false,true))"),FALSE)</f>
        <v>0</v>
      </c>
      <c r="Q145" s="53" t="b">
        <f ca="1">IFERROR(__xludf.DUMMYFUNCTION("if($G145="""",false, if(isna(match(Q$2, split($G145:$G383,"", "",False),0)),false,true))"),FALSE)</f>
        <v>0</v>
      </c>
      <c r="R145" s="53" t="b">
        <f ca="1">IFERROR(__xludf.DUMMYFUNCTION("if($G145="""",false, if(isna(match(R$2, split($G145:$G383,"", "",False),0)),false,true))"),FALSE)</f>
        <v>0</v>
      </c>
      <c r="S145" s="53" t="b">
        <f ca="1">IFERROR(__xludf.DUMMYFUNCTION("if($G145="""",false, if(isna(match(S$2, split($G145:$G383,"", "",False),0)),false,true))"),FALSE)</f>
        <v>0</v>
      </c>
      <c r="T145" s="53" t="b">
        <f ca="1">IFERROR(__xludf.DUMMYFUNCTION("if($G145="""",false, if(isna(match(T$2, split($G145:$G383,"", "",False),0)),false,true))"),FALSE)</f>
        <v>0</v>
      </c>
      <c r="U145" s="53" t="b">
        <f ca="1">IFERROR(__xludf.DUMMYFUNCTION("if($G145="""",false, if(isna(match(U$2, split($G145:$G383,"", "",False),0)),false,true))"),FALSE)</f>
        <v>0</v>
      </c>
      <c r="V145" s="53" t="b">
        <f ca="1">IFERROR(__xludf.DUMMYFUNCTION("if($G145="""",false, if(isna(match(V$2, split($G145:$G383,"", "",False),0)),false,true))"),FALSE)</f>
        <v>0</v>
      </c>
      <c r="W145" s="57" t="b">
        <f ca="1">IFERROR(__xludf.DUMMYFUNCTION("if($G145="""",false, if(isna(match(W$2, split($G145:$G383,"", "",False),0)),false,true))"),FALSE)</f>
        <v>0</v>
      </c>
    </row>
    <row r="146" spans="1:23" ht="42">
      <c r="A146" s="47" t="s">
        <v>476</v>
      </c>
      <c r="B146" s="48" t="s">
        <v>64</v>
      </c>
      <c r="C146" s="49" t="s">
        <v>419</v>
      </c>
      <c r="D146" s="50" t="s">
        <v>474</v>
      </c>
      <c r="E146" s="49" t="s">
        <v>73</v>
      </c>
      <c r="F146" s="51" t="s">
        <v>477</v>
      </c>
      <c r="G146" s="59" t="s">
        <v>109</v>
      </c>
      <c r="H146" s="53" t="b">
        <f ca="1">IFERROR(__xludf.DUMMYFUNCTION("if($G146="""",false, if(isna(match(H$2, split($G146:$G383,"", "",False),0)),false,true))"),FALSE)</f>
        <v>0</v>
      </c>
      <c r="I146" s="53" t="b">
        <f ca="1">IFERROR(__xludf.DUMMYFUNCTION("if($G146="""",false, if(isna(match(I$2, split($G146:$G383,"", "",False),0)),false,true))"),TRUE)</f>
        <v>1</v>
      </c>
      <c r="J146" s="53" t="b">
        <f ca="1">IFERROR(__xludf.DUMMYFUNCTION("if($G146="""",false, if(isna(match(J$2, split($G146:$G383,"", "",False),0)),false,true))"),FALSE)</f>
        <v>0</v>
      </c>
      <c r="K146" s="53" t="b">
        <f ca="1">IFERROR(__xludf.DUMMYFUNCTION("if($G146="""",false, if(isna(match(K$2, split($G146:$G383,"", "",False),0)),false,true))"),FALSE)</f>
        <v>0</v>
      </c>
      <c r="L146" s="53" t="b">
        <f ca="1">IFERROR(__xludf.DUMMYFUNCTION("if($G146="""",false, if(isna(match(L$2, split($G146:$G383,"", "",False),0)),false,true))"),FALSE)</f>
        <v>0</v>
      </c>
      <c r="M146" s="53" t="b">
        <f ca="1">IFERROR(__xludf.DUMMYFUNCTION("if($G146="""",false, if(isna(match(M$2, split($G146:$G383,"", "",False),0)),false,true))"),FALSE)</f>
        <v>0</v>
      </c>
      <c r="N146" s="53" t="b">
        <f ca="1">IFERROR(__xludf.DUMMYFUNCTION("if($G146="""",false, if(isna(match(N$2, split($G146:$G383,"", "",False),0)),false,true))"),FALSE)</f>
        <v>0</v>
      </c>
      <c r="O146" s="53" t="b">
        <f ca="1">IFERROR(__xludf.DUMMYFUNCTION("if($G146="""",false, if(isna(match(O$2, split($G146:$G383,"", "",False),0)),false,true))"),FALSE)</f>
        <v>0</v>
      </c>
      <c r="P146" s="53" t="b">
        <f ca="1">IFERROR(__xludf.DUMMYFUNCTION("if($G146="""",false, if(isna(match(P$2, split($G146:$G383,"", "",False),0)),false,true))"),FALSE)</f>
        <v>0</v>
      </c>
      <c r="Q146" s="53" t="b">
        <f ca="1">IFERROR(__xludf.DUMMYFUNCTION("if($G146="""",false, if(isna(match(Q$2, split($G146:$G383,"", "",False),0)),false,true))"),FALSE)</f>
        <v>0</v>
      </c>
      <c r="R146" s="53" t="b">
        <f ca="1">IFERROR(__xludf.DUMMYFUNCTION("if($G146="""",false, if(isna(match(R$2, split($G146:$G383,"", "",False),0)),false,true))"),FALSE)</f>
        <v>0</v>
      </c>
      <c r="S146" s="53" t="b">
        <f ca="1">IFERROR(__xludf.DUMMYFUNCTION("if($G146="""",false, if(isna(match(S$2, split($G146:$G383,"", "",False),0)),false,true))"),FALSE)</f>
        <v>0</v>
      </c>
      <c r="T146" s="53" t="b">
        <f ca="1">IFERROR(__xludf.DUMMYFUNCTION("if($G146="""",false, if(isna(match(T$2, split($G146:$G383,"", "",False),0)),false,true))"),FALSE)</f>
        <v>0</v>
      </c>
      <c r="U146" s="53" t="b">
        <f ca="1">IFERROR(__xludf.DUMMYFUNCTION("if($G146="""",false, if(isna(match(U$2, split($G146:$G383,"", "",False),0)),false,true))"),FALSE)</f>
        <v>0</v>
      </c>
      <c r="V146" s="53" t="b">
        <f ca="1">IFERROR(__xludf.DUMMYFUNCTION("if($G146="""",false, if(isna(match(V$2, split($G146:$G383,"", "",False),0)),false,true))"),FALSE)</f>
        <v>0</v>
      </c>
      <c r="W146" s="57" t="b">
        <f ca="1">IFERROR(__xludf.DUMMYFUNCTION("if($G146="""",false, if(isna(match(W$2, split($G146:$G383,"", "",False),0)),false,true))"),FALSE)</f>
        <v>0</v>
      </c>
    </row>
    <row r="147" spans="1:23" ht="42">
      <c r="A147" s="47" t="s">
        <v>478</v>
      </c>
      <c r="B147" s="48" t="s">
        <v>64</v>
      </c>
      <c r="C147" s="49" t="s">
        <v>419</v>
      </c>
      <c r="D147" s="50" t="s">
        <v>474</v>
      </c>
      <c r="E147" s="49" t="s">
        <v>73</v>
      </c>
      <c r="F147" s="51" t="s">
        <v>479</v>
      </c>
      <c r="G147" s="59" t="s">
        <v>328</v>
      </c>
      <c r="H147" s="53" t="b">
        <f ca="1">IFERROR(__xludf.DUMMYFUNCTION("if($G147="""",false, if(isna(match(H$2, split($G147:$G383,"", "",False),0)),false,true))"),FALSE)</f>
        <v>0</v>
      </c>
      <c r="I147" s="53" t="b">
        <f ca="1">IFERROR(__xludf.DUMMYFUNCTION("if($G147="""",false, if(isna(match(I$2, split($G147:$G383,"", "",False),0)),false,true))"),FALSE)</f>
        <v>0</v>
      </c>
      <c r="J147" s="53" t="b">
        <f ca="1">IFERROR(__xludf.DUMMYFUNCTION("if($G147="""",false, if(isna(match(J$2, split($G147:$G383,"", "",False),0)),false,true))"),FALSE)</f>
        <v>0</v>
      </c>
      <c r="K147" s="53" t="b">
        <f ca="1">IFERROR(__xludf.DUMMYFUNCTION("if($G147="""",false, if(isna(match(K$2, split($G147:$G383,"", "",False),0)),false,true))"),FALSE)</f>
        <v>0</v>
      </c>
      <c r="L147" s="53" t="b">
        <f ca="1">IFERROR(__xludf.DUMMYFUNCTION("if($G147="""",false, if(isna(match(L$2, split($G147:$G383,"", "",False),0)),false,true))"),FALSE)</f>
        <v>0</v>
      </c>
      <c r="M147" s="53" t="b">
        <f ca="1">IFERROR(__xludf.DUMMYFUNCTION("if($G147="""",false, if(isna(match(M$2, split($G147:$G383,"", "",False),0)),false,true))"),FALSE)</f>
        <v>0</v>
      </c>
      <c r="N147" s="53" t="b">
        <f ca="1">IFERROR(__xludf.DUMMYFUNCTION("if($G147="""",false, if(isna(match(N$2, split($G147:$G383,"", "",False),0)),false,true))"),FALSE)</f>
        <v>0</v>
      </c>
      <c r="O147" s="53" t="b">
        <f ca="1">IFERROR(__xludf.DUMMYFUNCTION("if($G147="""",false, if(isna(match(O$2, split($G147:$G383,"", "",False),0)),false,true))"),FALSE)</f>
        <v>0</v>
      </c>
      <c r="P147" s="53" t="b">
        <f ca="1">IFERROR(__xludf.DUMMYFUNCTION("if($G147="""",false, if(isna(match(P$2, split($G147:$G383,"", "",False),0)),false,true))"),FALSE)</f>
        <v>0</v>
      </c>
      <c r="Q147" s="53" t="b">
        <f ca="1">IFERROR(__xludf.DUMMYFUNCTION("if($G147="""",false, if(isna(match(Q$2, split($G147:$G383,"", "",False),0)),false,true))"),FALSE)</f>
        <v>0</v>
      </c>
      <c r="R147" s="53" t="b">
        <f ca="1">IFERROR(__xludf.DUMMYFUNCTION("if($G147="""",false, if(isna(match(R$2, split($G147:$G383,"", "",False),0)),false,true))"),FALSE)</f>
        <v>0</v>
      </c>
      <c r="S147" s="53" t="b">
        <f ca="1">IFERROR(__xludf.DUMMYFUNCTION("if($G147="""",false, if(isna(match(S$2, split($G147:$G383,"", "",False),0)),false,true))"),FALSE)</f>
        <v>0</v>
      </c>
      <c r="T147" s="53" t="b">
        <f ca="1">IFERROR(__xludf.DUMMYFUNCTION("if($G147="""",false, if(isna(match(T$2, split($G147:$G383,"", "",False),0)),false,true))"),FALSE)</f>
        <v>0</v>
      </c>
      <c r="U147" s="53" t="b">
        <f ca="1">IFERROR(__xludf.DUMMYFUNCTION("if($G147="""",false, if(isna(match(U$2, split($G147:$G383,"", "",False),0)),false,true))"),FALSE)</f>
        <v>0</v>
      </c>
      <c r="V147" s="53" t="b">
        <f ca="1">IFERROR(__xludf.DUMMYFUNCTION("if($G147="""",false, if(isna(match(V$2, split($G147:$G383,"", "",False),0)),false,true))"),FALSE)</f>
        <v>0</v>
      </c>
      <c r="W147" s="57" t="b">
        <f ca="1">IFERROR(__xludf.DUMMYFUNCTION("if($G147="""",false, if(isna(match(W$2, split($G147:$G383,"", "",False),0)),false,true))"),FALSE)</f>
        <v>0</v>
      </c>
    </row>
    <row r="148" spans="1:23" ht="56">
      <c r="A148" s="47" t="s">
        <v>480</v>
      </c>
      <c r="B148" s="48" t="s">
        <v>64</v>
      </c>
      <c r="C148" s="49" t="s">
        <v>419</v>
      </c>
      <c r="D148" s="50" t="s">
        <v>474</v>
      </c>
      <c r="E148" s="49" t="s">
        <v>481</v>
      </c>
      <c r="F148" s="51" t="s">
        <v>482</v>
      </c>
      <c r="G148" s="59" t="s">
        <v>109</v>
      </c>
      <c r="H148" s="53" t="b">
        <f ca="1">IFERROR(__xludf.DUMMYFUNCTION("if($G148="""",false, if(isna(match(H$2, split($G148:$G383,"", "",False),0)),false,true))"),FALSE)</f>
        <v>0</v>
      </c>
      <c r="I148" s="53" t="b">
        <f ca="1">IFERROR(__xludf.DUMMYFUNCTION("if($G148="""",false, if(isna(match(I$2, split($G148:$G383,"", "",False),0)),false,true))"),TRUE)</f>
        <v>1</v>
      </c>
      <c r="J148" s="53" t="b">
        <f ca="1">IFERROR(__xludf.DUMMYFUNCTION("if($G148="""",false, if(isna(match(J$2, split($G148:$G383,"", "",False),0)),false,true))"),FALSE)</f>
        <v>0</v>
      </c>
      <c r="K148" s="53" t="b">
        <f ca="1">IFERROR(__xludf.DUMMYFUNCTION("if($G148="""",false, if(isna(match(K$2, split($G148:$G383,"", "",False),0)),false,true))"),FALSE)</f>
        <v>0</v>
      </c>
      <c r="L148" s="53" t="b">
        <f ca="1">IFERROR(__xludf.DUMMYFUNCTION("if($G148="""",false, if(isna(match(L$2, split($G148:$G383,"", "",False),0)),false,true))"),FALSE)</f>
        <v>0</v>
      </c>
      <c r="M148" s="53" t="b">
        <f ca="1">IFERROR(__xludf.DUMMYFUNCTION("if($G148="""",false, if(isna(match(M$2, split($G148:$G383,"", "",False),0)),false,true))"),FALSE)</f>
        <v>0</v>
      </c>
      <c r="N148" s="53" t="b">
        <f ca="1">IFERROR(__xludf.DUMMYFUNCTION("if($G148="""",false, if(isna(match(N$2, split($G148:$G383,"", "",False),0)),false,true))"),FALSE)</f>
        <v>0</v>
      </c>
      <c r="O148" s="53" t="b">
        <f ca="1">IFERROR(__xludf.DUMMYFUNCTION("if($G148="""",false, if(isna(match(O$2, split($G148:$G383,"", "",False),0)),false,true))"),FALSE)</f>
        <v>0</v>
      </c>
      <c r="P148" s="53" t="b">
        <f ca="1">IFERROR(__xludf.DUMMYFUNCTION("if($G148="""",false, if(isna(match(P$2, split($G148:$G383,"", "",False),0)),false,true))"),FALSE)</f>
        <v>0</v>
      </c>
      <c r="Q148" s="53" t="b">
        <f ca="1">IFERROR(__xludf.DUMMYFUNCTION("if($G148="""",false, if(isna(match(Q$2, split($G148:$G383,"", "",False),0)),false,true))"),FALSE)</f>
        <v>0</v>
      </c>
      <c r="R148" s="53" t="b">
        <f ca="1">IFERROR(__xludf.DUMMYFUNCTION("if($G148="""",false, if(isna(match(R$2, split($G148:$G383,"", "",False),0)),false,true))"),FALSE)</f>
        <v>0</v>
      </c>
      <c r="S148" s="53" t="b">
        <f ca="1">IFERROR(__xludf.DUMMYFUNCTION("if($G148="""",false, if(isna(match(S$2, split($G148:$G383,"", "",False),0)),false,true))"),FALSE)</f>
        <v>0</v>
      </c>
      <c r="T148" s="53" t="b">
        <f ca="1">IFERROR(__xludf.DUMMYFUNCTION("if($G148="""",false, if(isna(match(T$2, split($G148:$G383,"", "",False),0)),false,true))"),FALSE)</f>
        <v>0</v>
      </c>
      <c r="U148" s="53" t="b">
        <f ca="1">IFERROR(__xludf.DUMMYFUNCTION("if($G148="""",false, if(isna(match(U$2, split($G148:$G383,"", "",False),0)),false,true))"),FALSE)</f>
        <v>0</v>
      </c>
      <c r="V148" s="53" t="b">
        <f ca="1">IFERROR(__xludf.DUMMYFUNCTION("if($G148="""",false, if(isna(match(V$2, split($G148:$G383,"", "",False),0)),false,true))"),FALSE)</f>
        <v>0</v>
      </c>
      <c r="W148" s="57" t="b">
        <f ca="1">IFERROR(__xludf.DUMMYFUNCTION("if($G148="""",false, if(isna(match(W$2, split($G148:$G383,"", "",False),0)),false,true))"),FALSE)</f>
        <v>0</v>
      </c>
    </row>
    <row r="149" spans="1:23" ht="56">
      <c r="A149" s="47" t="s">
        <v>483</v>
      </c>
      <c r="B149" s="48" t="s">
        <v>64</v>
      </c>
      <c r="C149" s="49" t="s">
        <v>419</v>
      </c>
      <c r="D149" s="50" t="s">
        <v>474</v>
      </c>
      <c r="E149" s="49" t="s">
        <v>481</v>
      </c>
      <c r="F149" s="51" t="s">
        <v>484</v>
      </c>
      <c r="G149" s="59" t="s">
        <v>109</v>
      </c>
      <c r="H149" s="53" t="b">
        <f ca="1">IFERROR(__xludf.DUMMYFUNCTION("if($G149="""",false, if(isna(match(H$2, split($G149:$G383,"", "",False),0)),false,true))"),FALSE)</f>
        <v>0</v>
      </c>
      <c r="I149" s="53" t="b">
        <f ca="1">IFERROR(__xludf.DUMMYFUNCTION("if($G149="""",false, if(isna(match(I$2, split($G149:$G383,"", "",False),0)),false,true))"),TRUE)</f>
        <v>1</v>
      </c>
      <c r="J149" s="53" t="b">
        <f ca="1">IFERROR(__xludf.DUMMYFUNCTION("if($G149="""",false, if(isna(match(J$2, split($G149:$G383,"", "",False),0)),false,true))"),FALSE)</f>
        <v>0</v>
      </c>
      <c r="K149" s="53" t="b">
        <f ca="1">IFERROR(__xludf.DUMMYFUNCTION("if($G149="""",false, if(isna(match(K$2, split($G149:$G383,"", "",False),0)),false,true))"),FALSE)</f>
        <v>0</v>
      </c>
      <c r="L149" s="53" t="b">
        <f ca="1">IFERROR(__xludf.DUMMYFUNCTION("if($G149="""",false, if(isna(match(L$2, split($G149:$G383,"", "",False),0)),false,true))"),FALSE)</f>
        <v>0</v>
      </c>
      <c r="M149" s="53" t="b">
        <f ca="1">IFERROR(__xludf.DUMMYFUNCTION("if($G149="""",false, if(isna(match(M$2, split($G149:$G383,"", "",False),0)),false,true))"),FALSE)</f>
        <v>0</v>
      </c>
      <c r="N149" s="53" t="b">
        <f ca="1">IFERROR(__xludf.DUMMYFUNCTION("if($G149="""",false, if(isna(match(N$2, split($G149:$G383,"", "",False),0)),false,true))"),FALSE)</f>
        <v>0</v>
      </c>
      <c r="O149" s="53" t="b">
        <f ca="1">IFERROR(__xludf.DUMMYFUNCTION("if($G149="""",false, if(isna(match(O$2, split($G149:$G383,"", "",False),0)),false,true))"),FALSE)</f>
        <v>0</v>
      </c>
      <c r="P149" s="53" t="b">
        <f ca="1">IFERROR(__xludf.DUMMYFUNCTION("if($G149="""",false, if(isna(match(P$2, split($G149:$G383,"", "",False),0)),false,true))"),FALSE)</f>
        <v>0</v>
      </c>
      <c r="Q149" s="53" t="b">
        <f ca="1">IFERROR(__xludf.DUMMYFUNCTION("if($G149="""",false, if(isna(match(Q$2, split($G149:$G383,"", "",False),0)),false,true))"),FALSE)</f>
        <v>0</v>
      </c>
      <c r="R149" s="53" t="b">
        <f ca="1">IFERROR(__xludf.DUMMYFUNCTION("if($G149="""",false, if(isna(match(R$2, split($G149:$G383,"", "",False),0)),false,true))"),FALSE)</f>
        <v>0</v>
      </c>
      <c r="S149" s="53" t="b">
        <f ca="1">IFERROR(__xludf.DUMMYFUNCTION("if($G149="""",false, if(isna(match(S$2, split($G149:$G383,"", "",False),0)),false,true))"),FALSE)</f>
        <v>0</v>
      </c>
      <c r="T149" s="53" t="b">
        <f ca="1">IFERROR(__xludf.DUMMYFUNCTION("if($G149="""",false, if(isna(match(T$2, split($G149:$G383,"", "",False),0)),false,true))"),FALSE)</f>
        <v>0</v>
      </c>
      <c r="U149" s="53" t="b">
        <f ca="1">IFERROR(__xludf.DUMMYFUNCTION("if($G149="""",false, if(isna(match(U$2, split($G149:$G383,"", "",False),0)),false,true))"),FALSE)</f>
        <v>0</v>
      </c>
      <c r="V149" s="53" t="b">
        <f ca="1">IFERROR(__xludf.DUMMYFUNCTION("if($G149="""",false, if(isna(match(V$2, split($G149:$G383,"", "",False),0)),false,true))"),FALSE)</f>
        <v>0</v>
      </c>
      <c r="W149" s="57" t="b">
        <f ca="1">IFERROR(__xludf.DUMMYFUNCTION("if($G149="""",false, if(isna(match(W$2, split($G149:$G383,"", "",False),0)),false,true))"),FALSE)</f>
        <v>0</v>
      </c>
    </row>
    <row r="150" spans="1:23" ht="42">
      <c r="A150" s="47" t="s">
        <v>485</v>
      </c>
      <c r="B150" s="48" t="s">
        <v>64</v>
      </c>
      <c r="C150" s="49" t="s">
        <v>419</v>
      </c>
      <c r="D150" s="50" t="s">
        <v>474</v>
      </c>
      <c r="E150" s="49" t="s">
        <v>481</v>
      </c>
      <c r="F150" s="51" t="s">
        <v>486</v>
      </c>
      <c r="G150" s="59" t="s">
        <v>197</v>
      </c>
      <c r="H150" s="53" t="b">
        <f ca="1">IFERROR(__xludf.DUMMYFUNCTION("if($G150="""",false, if(isna(match(H$2, split($G150:$G383,"", "",False),0)),false,true))"),FALSE)</f>
        <v>0</v>
      </c>
      <c r="I150" s="53" t="b">
        <f ca="1">IFERROR(__xludf.DUMMYFUNCTION("if($G150="""",false, if(isna(match(I$2, split($G150:$G383,"", "",False),0)),false,true))"),FALSE)</f>
        <v>0</v>
      </c>
      <c r="J150" s="53" t="b">
        <f ca="1">IFERROR(__xludf.DUMMYFUNCTION("if($G150="""",false, if(isna(match(J$2, split($G150:$G383,"", "",False),0)),false,true))"),FALSE)</f>
        <v>0</v>
      </c>
      <c r="K150" s="53" t="b">
        <f ca="1">IFERROR(__xludf.DUMMYFUNCTION("if($G150="""",false, if(isna(match(K$2, split($G150:$G383,"", "",False),0)),false,true))"),FALSE)</f>
        <v>0</v>
      </c>
      <c r="L150" s="53" t="b">
        <f ca="1">IFERROR(__xludf.DUMMYFUNCTION("if($G150="""",false, if(isna(match(L$2, split($G150:$G383,"", "",False),0)),false,true))"),FALSE)</f>
        <v>0</v>
      </c>
      <c r="M150" s="53" t="b">
        <f ca="1">IFERROR(__xludf.DUMMYFUNCTION("if($G150="""",false, if(isna(match(M$2, split($G150:$G383,"", "",False),0)),false,true))"),FALSE)</f>
        <v>0</v>
      </c>
      <c r="N150" s="53" t="b">
        <f ca="1">IFERROR(__xludf.DUMMYFUNCTION("if($G150="""",false, if(isna(match(N$2, split($G150:$G383,"", "",False),0)),false,true))"),FALSE)</f>
        <v>0</v>
      </c>
      <c r="O150" s="53" t="b">
        <f ca="1">IFERROR(__xludf.DUMMYFUNCTION("if($G150="""",false, if(isna(match(O$2, split($G150:$G383,"", "",False),0)),false,true))"),FALSE)</f>
        <v>0</v>
      </c>
      <c r="P150" s="53" t="b">
        <f ca="1">IFERROR(__xludf.DUMMYFUNCTION("if($G150="""",false, if(isna(match(P$2, split($G150:$G383,"", "",False),0)),false,true))"),FALSE)</f>
        <v>0</v>
      </c>
      <c r="Q150" s="53" t="b">
        <f ca="1">IFERROR(__xludf.DUMMYFUNCTION("if($G150="""",false, if(isna(match(Q$2, split($G150:$G383,"", "",False),0)),false,true))"),FALSE)</f>
        <v>0</v>
      </c>
      <c r="R150" s="53" t="b">
        <f ca="1">IFERROR(__xludf.DUMMYFUNCTION("if($G150="""",false, if(isna(match(R$2, split($G150:$G383,"", "",False),0)),false,true))"),FALSE)</f>
        <v>0</v>
      </c>
      <c r="S150" s="53" t="b">
        <f ca="1">IFERROR(__xludf.DUMMYFUNCTION("if($G150="""",false, if(isna(match(S$2, split($G150:$G383,"", "",False),0)),false,true))"),FALSE)</f>
        <v>0</v>
      </c>
      <c r="T150" s="53" t="b">
        <f ca="1">IFERROR(__xludf.DUMMYFUNCTION("if($G150="""",false, if(isna(match(T$2, split($G150:$G383,"", "",False),0)),false,true))"),FALSE)</f>
        <v>0</v>
      </c>
      <c r="U150" s="53" t="b">
        <f ca="1">IFERROR(__xludf.DUMMYFUNCTION("if($G150="""",false, if(isna(match(U$2, split($G150:$G383,"", "",False),0)),false,true))"),FALSE)</f>
        <v>0</v>
      </c>
      <c r="V150" s="53" t="b">
        <f ca="1">IFERROR(__xludf.DUMMYFUNCTION("if($G150="""",false, if(isna(match(V$2, split($G150:$G383,"", "",False),0)),false,true))"),FALSE)</f>
        <v>0</v>
      </c>
      <c r="W150" s="57" t="b">
        <f ca="1">IFERROR(__xludf.DUMMYFUNCTION("if($G150="""",false, if(isna(match(W$2, split($G150:$G383,"", "",False),0)),false,true))"),FALSE)</f>
        <v>0</v>
      </c>
    </row>
    <row r="151" spans="1:23" ht="42">
      <c r="A151" s="47" t="s">
        <v>487</v>
      </c>
      <c r="B151" s="48" t="s">
        <v>64</v>
      </c>
      <c r="C151" s="49" t="s">
        <v>419</v>
      </c>
      <c r="D151" s="50" t="s">
        <v>474</v>
      </c>
      <c r="E151" s="49" t="s">
        <v>488</v>
      </c>
      <c r="F151" s="51" t="s">
        <v>489</v>
      </c>
      <c r="G151" s="59" t="s">
        <v>116</v>
      </c>
      <c r="H151" s="53" t="b">
        <f ca="1">IFERROR(__xludf.DUMMYFUNCTION("if($G151="""",false, if(isna(match(H$2, split($G151:$G383,"", "",False),0)),false,true))"),FALSE)</f>
        <v>0</v>
      </c>
      <c r="I151" s="53" t="b">
        <f ca="1">IFERROR(__xludf.DUMMYFUNCTION("if($G151="""",false, if(isna(match(I$2, split($G151:$G383,"", "",False),0)),false,true))"),FALSE)</f>
        <v>0</v>
      </c>
      <c r="J151" s="53" t="b">
        <f ca="1">IFERROR(__xludf.DUMMYFUNCTION("if($G151="""",false, if(isna(match(J$2, split($G151:$G383,"", "",False),0)),false,true))"),FALSE)</f>
        <v>0</v>
      </c>
      <c r="K151" s="53" t="b">
        <f ca="1">IFERROR(__xludf.DUMMYFUNCTION("if($G151="""",false, if(isna(match(K$2, split($G151:$G383,"", "",False),0)),false,true))"),FALSE)</f>
        <v>0</v>
      </c>
      <c r="L151" s="53" t="b">
        <f ca="1">IFERROR(__xludf.DUMMYFUNCTION("if($G151="""",false, if(isna(match(L$2, split($G151:$G383,"", "",False),0)),false,true))"),FALSE)</f>
        <v>0</v>
      </c>
      <c r="M151" s="53" t="b">
        <f ca="1">IFERROR(__xludf.DUMMYFUNCTION("if($G151="""",false, if(isna(match(M$2, split($G151:$G383,"", "",False),0)),false,true))"),FALSE)</f>
        <v>0</v>
      </c>
      <c r="N151" s="53" t="b">
        <f ca="1">IFERROR(__xludf.DUMMYFUNCTION("if($G151="""",false, if(isna(match(N$2, split($G151:$G383,"", "",False),0)),false,true))"),FALSE)</f>
        <v>0</v>
      </c>
      <c r="O151" s="53" t="b">
        <f ca="1">IFERROR(__xludf.DUMMYFUNCTION("if($G151="""",false, if(isna(match(O$2, split($G151:$G383,"", "",False),0)),false,true))"),FALSE)</f>
        <v>0</v>
      </c>
      <c r="P151" s="53" t="b">
        <f ca="1">IFERROR(__xludf.DUMMYFUNCTION("if($G151="""",false, if(isna(match(P$2, split($G151:$G383,"", "",False),0)),false,true))"),TRUE)</f>
        <v>1</v>
      </c>
      <c r="Q151" s="53" t="b">
        <f ca="1">IFERROR(__xludf.DUMMYFUNCTION("if($G151="""",false, if(isna(match(Q$2, split($G151:$G383,"", "",False),0)),false,true))"),FALSE)</f>
        <v>0</v>
      </c>
      <c r="R151" s="53" t="b">
        <f ca="1">IFERROR(__xludf.DUMMYFUNCTION("if($G151="""",false, if(isna(match(R$2, split($G151:$G383,"", "",False),0)),false,true))"),FALSE)</f>
        <v>0</v>
      </c>
      <c r="S151" s="53" t="b">
        <f ca="1">IFERROR(__xludf.DUMMYFUNCTION("if($G151="""",false, if(isna(match(S$2, split($G151:$G383,"", "",False),0)),false,true))"),FALSE)</f>
        <v>0</v>
      </c>
      <c r="T151" s="53" t="b">
        <f ca="1">IFERROR(__xludf.DUMMYFUNCTION("if($G151="""",false, if(isna(match(T$2, split($G151:$G383,"", "",False),0)),false,true))"),FALSE)</f>
        <v>0</v>
      </c>
      <c r="U151" s="53" t="b">
        <f ca="1">IFERROR(__xludf.DUMMYFUNCTION("if($G151="""",false, if(isna(match(U$2, split($G151:$G383,"", "",False),0)),false,true))"),FALSE)</f>
        <v>0</v>
      </c>
      <c r="V151" s="53" t="b">
        <f ca="1">IFERROR(__xludf.DUMMYFUNCTION("if($G151="""",false, if(isna(match(V$2, split($G151:$G383,"", "",False),0)),false,true))"),FALSE)</f>
        <v>0</v>
      </c>
      <c r="W151" s="57" t="b">
        <f ca="1">IFERROR(__xludf.DUMMYFUNCTION("if($G151="""",false, if(isna(match(W$2, split($G151:$G383,"", "",False),0)),false,true))"),FALSE)</f>
        <v>0</v>
      </c>
    </row>
    <row r="152" spans="1:23" ht="42">
      <c r="A152" s="47" t="s">
        <v>490</v>
      </c>
      <c r="B152" s="48" t="s">
        <v>64</v>
      </c>
      <c r="C152" s="49" t="s">
        <v>419</v>
      </c>
      <c r="D152" s="50" t="s">
        <v>474</v>
      </c>
      <c r="E152" s="49" t="s">
        <v>488</v>
      </c>
      <c r="F152" s="51" t="s">
        <v>491</v>
      </c>
      <c r="G152" s="59" t="s">
        <v>492</v>
      </c>
      <c r="H152" s="53" t="b">
        <f ca="1">IFERROR(__xludf.DUMMYFUNCTION("if($G152="""",false, if(isna(match(H$2, split($G152:$G383,"", "",False),0)),false,true))"),FALSE)</f>
        <v>0</v>
      </c>
      <c r="I152" s="53" t="b">
        <f ca="1">IFERROR(__xludf.DUMMYFUNCTION("if($G152="""",false, if(isna(match(I$2, split($G152:$G383,"", "",False),0)),false,true))"),FALSE)</f>
        <v>0</v>
      </c>
      <c r="J152" s="53" t="b">
        <f ca="1">IFERROR(__xludf.DUMMYFUNCTION("if($G152="""",false, if(isna(match(J$2, split($G152:$G383,"", "",False),0)),false,true))"),FALSE)</f>
        <v>0</v>
      </c>
      <c r="K152" s="53" t="b">
        <f ca="1">IFERROR(__xludf.DUMMYFUNCTION("if($G152="""",false, if(isna(match(K$2, split($G152:$G383,"", "",False),0)),false,true))"),FALSE)</f>
        <v>0</v>
      </c>
      <c r="L152" s="53" t="b">
        <f ca="1">IFERROR(__xludf.DUMMYFUNCTION("if($G152="""",false, if(isna(match(L$2, split($G152:$G383,"", "",False),0)),false,true))"),FALSE)</f>
        <v>0</v>
      </c>
      <c r="M152" s="53" t="b">
        <f ca="1">IFERROR(__xludf.DUMMYFUNCTION("if($G152="""",false, if(isna(match(M$2, split($G152:$G383,"", "",False),0)),false,true))"),FALSE)</f>
        <v>0</v>
      </c>
      <c r="N152" s="53" t="b">
        <f ca="1">IFERROR(__xludf.DUMMYFUNCTION("if($G152="""",false, if(isna(match(N$2, split($G152:$G383,"", "",False),0)),false,true))"),FALSE)</f>
        <v>0</v>
      </c>
      <c r="O152" s="53" t="b">
        <f ca="1">IFERROR(__xludf.DUMMYFUNCTION("if($G152="""",false, if(isna(match(O$2, split($G152:$G383,"", "",False),0)),false,true))"),FALSE)</f>
        <v>0</v>
      </c>
      <c r="P152" s="53" t="b">
        <f ca="1">IFERROR(__xludf.DUMMYFUNCTION("if($G152="""",false, if(isna(match(P$2, split($G152:$G383,"", "",False),0)),false,true))"),TRUE)</f>
        <v>1</v>
      </c>
      <c r="Q152" s="53" t="b">
        <f ca="1">IFERROR(__xludf.DUMMYFUNCTION("if($G152="""",false, if(isna(match(Q$2, split($G152:$G383,"", "",False),0)),false,true))"),FALSE)</f>
        <v>0</v>
      </c>
      <c r="R152" s="53" t="b">
        <f ca="1">IFERROR(__xludf.DUMMYFUNCTION("if($G152="""",false, if(isna(match(R$2, split($G152:$G383,"", "",False),0)),false,true))"),FALSE)</f>
        <v>0</v>
      </c>
      <c r="S152" s="53" t="b">
        <f ca="1">IFERROR(__xludf.DUMMYFUNCTION("if($G152="""",false, if(isna(match(S$2, split($G152:$G383,"", "",False),0)),false,true))"),FALSE)</f>
        <v>0</v>
      </c>
      <c r="T152" s="53" t="b">
        <f ca="1">IFERROR(__xludf.DUMMYFUNCTION("if($G152="""",false, if(isna(match(T$2, split($G152:$G383,"", "",False),0)),false,true))"),FALSE)</f>
        <v>0</v>
      </c>
      <c r="U152" s="53" t="b">
        <f ca="1">IFERROR(__xludf.DUMMYFUNCTION("if($G152="""",false, if(isna(match(U$2, split($G152:$G383,"", "",False),0)),false,true))"),FALSE)</f>
        <v>0</v>
      </c>
      <c r="V152" s="53" t="b">
        <f ca="1">IFERROR(__xludf.DUMMYFUNCTION("if($G152="""",false, if(isna(match(V$2, split($G152:$G383,"", "",False),0)),false,true))"),FALSE)</f>
        <v>0</v>
      </c>
      <c r="W152" s="57" t="b">
        <f ca="1">IFERROR(__xludf.DUMMYFUNCTION("if($G152="""",false, if(isna(match(W$2, split($G152:$G383,"", "",False),0)),false,true))"),FALSE)</f>
        <v>0</v>
      </c>
    </row>
    <row r="153" spans="1:23" ht="28">
      <c r="A153" s="47" t="s">
        <v>493</v>
      </c>
      <c r="B153" s="48" t="s">
        <v>64</v>
      </c>
      <c r="C153" s="49" t="s">
        <v>419</v>
      </c>
      <c r="D153" s="50" t="s">
        <v>494</v>
      </c>
      <c r="E153" s="49" t="s">
        <v>7</v>
      </c>
      <c r="F153" s="51" t="s">
        <v>495</v>
      </c>
      <c r="G153" s="59" t="s">
        <v>7</v>
      </c>
      <c r="H153" s="53" t="b">
        <f ca="1">IFERROR(__xludf.DUMMYFUNCTION("if($G153="""",false, if(isna(match(H$2, split($G153:$G383,"", "",False),0)),false,true))"),FALSE)</f>
        <v>0</v>
      </c>
      <c r="I153" s="53" t="b">
        <f ca="1">IFERROR(__xludf.DUMMYFUNCTION("if($G153="""",false, if(isna(match(I$2, split($G153:$G383,"", "",False),0)),false,true))"),FALSE)</f>
        <v>0</v>
      </c>
      <c r="J153" s="53" t="b">
        <f ca="1">IFERROR(__xludf.DUMMYFUNCTION("if($G153="""",false, if(isna(match(J$2, split($G153:$G383,"", "",False),0)),false,true))"),FALSE)</f>
        <v>0</v>
      </c>
      <c r="K153" s="53" t="b">
        <f ca="1">IFERROR(__xludf.DUMMYFUNCTION("if($G153="""",false, if(isna(match(K$2, split($G153:$G383,"", "",False),0)),false,true))"),FALSE)</f>
        <v>0</v>
      </c>
      <c r="L153" s="53" t="b">
        <f ca="1">IFERROR(__xludf.DUMMYFUNCTION("if($G153="""",false, if(isna(match(L$2, split($G153:$G383,"", "",False),0)),false,true))"),FALSE)</f>
        <v>0</v>
      </c>
      <c r="M153" s="53" t="b">
        <f ca="1">IFERROR(__xludf.DUMMYFUNCTION("if($G153="""",false, if(isna(match(M$2, split($G153:$G383,"", "",False),0)),false,true))"),FALSE)</f>
        <v>0</v>
      </c>
      <c r="N153" s="53" t="b">
        <f ca="1">IFERROR(__xludf.DUMMYFUNCTION("if($G153="""",false, if(isna(match(N$2, split($G153:$G383,"", "",False),0)),false,true))"),FALSE)</f>
        <v>0</v>
      </c>
      <c r="O153" s="53" t="b">
        <f ca="1">IFERROR(__xludf.DUMMYFUNCTION("if($G153="""",false, if(isna(match(O$2, split($G153:$G383,"", "",False),0)),false,true))"),FALSE)</f>
        <v>0</v>
      </c>
      <c r="P153" s="53" t="b">
        <f ca="1">IFERROR(__xludf.DUMMYFUNCTION("if($G153="""",false, if(isna(match(P$2, split($G153:$G383,"", "",False),0)),false,true))"),FALSE)</f>
        <v>0</v>
      </c>
      <c r="Q153" s="53" t="b">
        <f ca="1">IFERROR(__xludf.DUMMYFUNCTION("if($G153="""",false, if(isna(match(Q$2, split($G153:$G383,"", "",False),0)),false,true))"),FALSE)</f>
        <v>0</v>
      </c>
      <c r="R153" s="53" t="b">
        <f ca="1">IFERROR(__xludf.DUMMYFUNCTION("if($G153="""",false, if(isna(match(R$2, split($G153:$G383,"", "",False),0)),false,true))"),FALSE)</f>
        <v>0</v>
      </c>
      <c r="S153" s="53" t="b">
        <f ca="1">IFERROR(__xludf.DUMMYFUNCTION("if($G153="""",false, if(isna(match(S$2, split($G153:$G383,"", "",False),0)),false,true))"),FALSE)</f>
        <v>0</v>
      </c>
      <c r="T153" s="53" t="b">
        <f ca="1">IFERROR(__xludf.DUMMYFUNCTION("if($G153="""",false, if(isna(match(T$2, split($G153:$G383,"", "",False),0)),false,true))"),FALSE)</f>
        <v>0</v>
      </c>
      <c r="U153" s="53" t="b">
        <f ca="1">IFERROR(__xludf.DUMMYFUNCTION("if($G153="""",false, if(isna(match(U$2, split($G153:$G383,"", "",False),0)),false,true))"),FALSE)</f>
        <v>0</v>
      </c>
      <c r="V153" s="53" t="b">
        <f ca="1">IFERROR(__xludf.DUMMYFUNCTION("if($G153="""",false, if(isna(match(V$2, split($G153:$G383,"", "",False),0)),false,true))"),FALSE)</f>
        <v>0</v>
      </c>
      <c r="W153" s="57" t="b">
        <f ca="1">IFERROR(__xludf.DUMMYFUNCTION("if($G153="""",false, if(isna(match(W$2, split($G153:$G383,"", "",False),0)),false,true))"),FALSE)</f>
        <v>0</v>
      </c>
    </row>
    <row r="154" spans="1:23" ht="28">
      <c r="A154" s="47" t="s">
        <v>496</v>
      </c>
      <c r="B154" s="48" t="s">
        <v>64</v>
      </c>
      <c r="C154" s="49" t="s">
        <v>419</v>
      </c>
      <c r="D154" s="50" t="s">
        <v>494</v>
      </c>
      <c r="E154" s="49" t="s">
        <v>7</v>
      </c>
      <c r="F154" s="51" t="s">
        <v>497</v>
      </c>
      <c r="G154" s="59" t="s">
        <v>7</v>
      </c>
      <c r="H154" s="53" t="b">
        <f ca="1">IFERROR(__xludf.DUMMYFUNCTION("if($G154="""",false, if(isna(match(H$2, split($G154:$G383,"", "",False),0)),false,true))"),FALSE)</f>
        <v>0</v>
      </c>
      <c r="I154" s="53" t="b">
        <f ca="1">IFERROR(__xludf.DUMMYFUNCTION("if($G154="""",false, if(isna(match(I$2, split($G154:$G383,"", "",False),0)),false,true))"),FALSE)</f>
        <v>0</v>
      </c>
      <c r="J154" s="53" t="b">
        <f ca="1">IFERROR(__xludf.DUMMYFUNCTION("if($G154="""",false, if(isna(match(J$2, split($G154:$G383,"", "",False),0)),false,true))"),FALSE)</f>
        <v>0</v>
      </c>
      <c r="K154" s="53" t="b">
        <f ca="1">IFERROR(__xludf.DUMMYFUNCTION("if($G154="""",false, if(isna(match(K$2, split($G154:$G383,"", "",False),0)),false,true))"),FALSE)</f>
        <v>0</v>
      </c>
      <c r="L154" s="53" t="b">
        <f ca="1">IFERROR(__xludf.DUMMYFUNCTION("if($G154="""",false, if(isna(match(L$2, split($G154:$G383,"", "",False),0)),false,true))"),FALSE)</f>
        <v>0</v>
      </c>
      <c r="M154" s="53" t="b">
        <f ca="1">IFERROR(__xludf.DUMMYFUNCTION("if($G154="""",false, if(isna(match(M$2, split($G154:$G383,"", "",False),0)),false,true))"),FALSE)</f>
        <v>0</v>
      </c>
      <c r="N154" s="53" t="b">
        <f ca="1">IFERROR(__xludf.DUMMYFUNCTION("if($G154="""",false, if(isna(match(N$2, split($G154:$G383,"", "",False),0)),false,true))"),FALSE)</f>
        <v>0</v>
      </c>
      <c r="O154" s="53" t="b">
        <f ca="1">IFERROR(__xludf.DUMMYFUNCTION("if($G154="""",false, if(isna(match(O$2, split($G154:$G383,"", "",False),0)),false,true))"),FALSE)</f>
        <v>0</v>
      </c>
      <c r="P154" s="53" t="b">
        <f ca="1">IFERROR(__xludf.DUMMYFUNCTION("if($G154="""",false, if(isna(match(P$2, split($G154:$G383,"", "",False),0)),false,true))"),FALSE)</f>
        <v>0</v>
      </c>
      <c r="Q154" s="53" t="b">
        <f ca="1">IFERROR(__xludf.DUMMYFUNCTION("if($G154="""",false, if(isna(match(Q$2, split($G154:$G383,"", "",False),0)),false,true))"),FALSE)</f>
        <v>0</v>
      </c>
      <c r="R154" s="53" t="b">
        <f ca="1">IFERROR(__xludf.DUMMYFUNCTION("if($G154="""",false, if(isna(match(R$2, split($G154:$G383,"", "",False),0)),false,true))"),FALSE)</f>
        <v>0</v>
      </c>
      <c r="S154" s="53" t="b">
        <f ca="1">IFERROR(__xludf.DUMMYFUNCTION("if($G154="""",false, if(isna(match(S$2, split($G154:$G383,"", "",False),0)),false,true))"),FALSE)</f>
        <v>0</v>
      </c>
      <c r="T154" s="53" t="b">
        <f ca="1">IFERROR(__xludf.DUMMYFUNCTION("if($G154="""",false, if(isna(match(T$2, split($G154:$G383,"", "",False),0)),false,true))"),FALSE)</f>
        <v>0</v>
      </c>
      <c r="U154" s="53" t="b">
        <f ca="1">IFERROR(__xludf.DUMMYFUNCTION("if($G154="""",false, if(isna(match(U$2, split($G154:$G383,"", "",False),0)),false,true))"),FALSE)</f>
        <v>0</v>
      </c>
      <c r="V154" s="53" t="b">
        <f ca="1">IFERROR(__xludf.DUMMYFUNCTION("if($G154="""",false, if(isna(match(V$2, split($G154:$G383,"", "",False),0)),false,true))"),FALSE)</f>
        <v>0</v>
      </c>
      <c r="W154" s="57" t="b">
        <f ca="1">IFERROR(__xludf.DUMMYFUNCTION("if($G154="""",false, if(isna(match(W$2, split($G154:$G383,"", "",False),0)),false,true))"),FALSE)</f>
        <v>0</v>
      </c>
    </row>
    <row r="155" spans="1:23" ht="28">
      <c r="A155" s="47" t="s">
        <v>498</v>
      </c>
      <c r="B155" s="48" t="s">
        <v>64</v>
      </c>
      <c r="C155" s="49" t="s">
        <v>419</v>
      </c>
      <c r="D155" s="50" t="s">
        <v>494</v>
      </c>
      <c r="E155" s="49" t="s">
        <v>7</v>
      </c>
      <c r="F155" s="51" t="s">
        <v>499</v>
      </c>
      <c r="G155" s="59" t="s">
        <v>7</v>
      </c>
      <c r="H155" s="53" t="b">
        <f ca="1">IFERROR(__xludf.DUMMYFUNCTION("if($G155="""",false, if(isna(match(H$2, split($G155:$G383,"", "",False),0)),false,true))"),FALSE)</f>
        <v>0</v>
      </c>
      <c r="I155" s="53" t="b">
        <f ca="1">IFERROR(__xludf.DUMMYFUNCTION("if($G155="""",false, if(isna(match(I$2, split($G155:$G383,"", "",False),0)),false,true))"),FALSE)</f>
        <v>0</v>
      </c>
      <c r="J155" s="53" t="b">
        <f ca="1">IFERROR(__xludf.DUMMYFUNCTION("if($G155="""",false, if(isna(match(J$2, split($G155:$G383,"", "",False),0)),false,true))"),FALSE)</f>
        <v>0</v>
      </c>
      <c r="K155" s="53" t="b">
        <f ca="1">IFERROR(__xludf.DUMMYFUNCTION("if($G155="""",false, if(isna(match(K$2, split($G155:$G383,"", "",False),0)),false,true))"),FALSE)</f>
        <v>0</v>
      </c>
      <c r="L155" s="53" t="b">
        <f ca="1">IFERROR(__xludf.DUMMYFUNCTION("if($G155="""",false, if(isna(match(L$2, split($G155:$G383,"", "",False),0)),false,true))"),FALSE)</f>
        <v>0</v>
      </c>
      <c r="M155" s="53" t="b">
        <f ca="1">IFERROR(__xludf.DUMMYFUNCTION("if($G155="""",false, if(isna(match(M$2, split($G155:$G383,"", "",False),0)),false,true))"),FALSE)</f>
        <v>0</v>
      </c>
      <c r="N155" s="53" t="b">
        <f ca="1">IFERROR(__xludf.DUMMYFUNCTION("if($G155="""",false, if(isna(match(N$2, split($G155:$G383,"", "",False),0)),false,true))"),FALSE)</f>
        <v>0</v>
      </c>
      <c r="O155" s="53" t="b">
        <f ca="1">IFERROR(__xludf.DUMMYFUNCTION("if($G155="""",false, if(isna(match(O$2, split($G155:$G383,"", "",False),0)),false,true))"),FALSE)</f>
        <v>0</v>
      </c>
      <c r="P155" s="53" t="b">
        <f ca="1">IFERROR(__xludf.DUMMYFUNCTION("if($G155="""",false, if(isna(match(P$2, split($G155:$G383,"", "",False),0)),false,true))"),FALSE)</f>
        <v>0</v>
      </c>
      <c r="Q155" s="53" t="b">
        <f ca="1">IFERROR(__xludf.DUMMYFUNCTION("if($G155="""",false, if(isna(match(Q$2, split($G155:$G383,"", "",False),0)),false,true))"),FALSE)</f>
        <v>0</v>
      </c>
      <c r="R155" s="53" t="b">
        <f ca="1">IFERROR(__xludf.DUMMYFUNCTION("if($G155="""",false, if(isna(match(R$2, split($G155:$G383,"", "",False),0)),false,true))"),FALSE)</f>
        <v>0</v>
      </c>
      <c r="S155" s="53" t="b">
        <f ca="1">IFERROR(__xludf.DUMMYFUNCTION("if($G155="""",false, if(isna(match(S$2, split($G155:$G383,"", "",False),0)),false,true))"),FALSE)</f>
        <v>0</v>
      </c>
      <c r="T155" s="53" t="b">
        <f ca="1">IFERROR(__xludf.DUMMYFUNCTION("if($G155="""",false, if(isna(match(T$2, split($G155:$G383,"", "",False),0)),false,true))"),FALSE)</f>
        <v>0</v>
      </c>
      <c r="U155" s="53" t="b">
        <f ca="1">IFERROR(__xludf.DUMMYFUNCTION("if($G155="""",false, if(isna(match(U$2, split($G155:$G383,"", "",False),0)),false,true))"),FALSE)</f>
        <v>0</v>
      </c>
      <c r="V155" s="53" t="b">
        <f ca="1">IFERROR(__xludf.DUMMYFUNCTION("if($G155="""",false, if(isna(match(V$2, split($G155:$G383,"", "",False),0)),false,true))"),FALSE)</f>
        <v>0</v>
      </c>
      <c r="W155" s="57" t="b">
        <f ca="1">IFERROR(__xludf.DUMMYFUNCTION("if($G155="""",false, if(isna(match(W$2, split($G155:$G383,"", "",False),0)),false,true))"),FALSE)</f>
        <v>0</v>
      </c>
    </row>
    <row r="156" spans="1:23" ht="56">
      <c r="A156" s="47" t="s">
        <v>500</v>
      </c>
      <c r="B156" s="48" t="s">
        <v>64</v>
      </c>
      <c r="C156" s="49" t="s">
        <v>419</v>
      </c>
      <c r="D156" s="50" t="s">
        <v>494</v>
      </c>
      <c r="E156" s="49" t="s">
        <v>7</v>
      </c>
      <c r="F156" s="51" t="s">
        <v>501</v>
      </c>
      <c r="G156" s="59" t="s">
        <v>7</v>
      </c>
      <c r="H156" s="53" t="b">
        <f ca="1">IFERROR(__xludf.DUMMYFUNCTION("if($G156="""",false, if(isna(match(H$2, split($G156:$G383,"", "",False),0)),false,true))"),FALSE)</f>
        <v>0</v>
      </c>
      <c r="I156" s="53" t="b">
        <f ca="1">IFERROR(__xludf.DUMMYFUNCTION("if($G156="""",false, if(isna(match(I$2, split($G156:$G383,"", "",False),0)),false,true))"),FALSE)</f>
        <v>0</v>
      </c>
      <c r="J156" s="53" t="b">
        <f ca="1">IFERROR(__xludf.DUMMYFUNCTION("if($G156="""",false, if(isna(match(J$2, split($G156:$G383,"", "",False),0)),false,true))"),FALSE)</f>
        <v>0</v>
      </c>
      <c r="K156" s="53" t="b">
        <f ca="1">IFERROR(__xludf.DUMMYFUNCTION("if($G156="""",false, if(isna(match(K$2, split($G156:$G383,"", "",False),0)),false,true))"),FALSE)</f>
        <v>0</v>
      </c>
      <c r="L156" s="53" t="b">
        <f ca="1">IFERROR(__xludf.DUMMYFUNCTION("if($G156="""",false, if(isna(match(L$2, split($G156:$G383,"", "",False),0)),false,true))"),FALSE)</f>
        <v>0</v>
      </c>
      <c r="M156" s="53" t="b">
        <f ca="1">IFERROR(__xludf.DUMMYFUNCTION("if($G156="""",false, if(isna(match(M$2, split($G156:$G383,"", "",False),0)),false,true))"),FALSE)</f>
        <v>0</v>
      </c>
      <c r="N156" s="53" t="b">
        <f ca="1">IFERROR(__xludf.DUMMYFUNCTION("if($G156="""",false, if(isna(match(N$2, split($G156:$G383,"", "",False),0)),false,true))"),FALSE)</f>
        <v>0</v>
      </c>
      <c r="O156" s="53" t="b">
        <f ca="1">IFERROR(__xludf.DUMMYFUNCTION("if($G156="""",false, if(isna(match(O$2, split($G156:$G383,"", "",False),0)),false,true))"),FALSE)</f>
        <v>0</v>
      </c>
      <c r="P156" s="53" t="b">
        <f ca="1">IFERROR(__xludf.DUMMYFUNCTION("if($G156="""",false, if(isna(match(P$2, split($G156:$G383,"", "",False),0)),false,true))"),FALSE)</f>
        <v>0</v>
      </c>
      <c r="Q156" s="53" t="b">
        <f ca="1">IFERROR(__xludf.DUMMYFUNCTION("if($G156="""",false, if(isna(match(Q$2, split($G156:$G383,"", "",False),0)),false,true))"),FALSE)</f>
        <v>0</v>
      </c>
      <c r="R156" s="53" t="b">
        <f ca="1">IFERROR(__xludf.DUMMYFUNCTION("if($G156="""",false, if(isna(match(R$2, split($G156:$G383,"", "",False),0)),false,true))"),FALSE)</f>
        <v>0</v>
      </c>
      <c r="S156" s="53" t="b">
        <f ca="1">IFERROR(__xludf.DUMMYFUNCTION("if($G156="""",false, if(isna(match(S$2, split($G156:$G383,"", "",False),0)),false,true))"),FALSE)</f>
        <v>0</v>
      </c>
      <c r="T156" s="53" t="b">
        <f ca="1">IFERROR(__xludf.DUMMYFUNCTION("if($G156="""",false, if(isna(match(T$2, split($G156:$G383,"", "",False),0)),false,true))"),FALSE)</f>
        <v>0</v>
      </c>
      <c r="U156" s="53" t="b">
        <f ca="1">IFERROR(__xludf.DUMMYFUNCTION("if($G156="""",false, if(isna(match(U$2, split($G156:$G383,"", "",False),0)),false,true))"),FALSE)</f>
        <v>0</v>
      </c>
      <c r="V156" s="53" t="b">
        <f ca="1">IFERROR(__xludf.DUMMYFUNCTION("if($G156="""",false, if(isna(match(V$2, split($G156:$G383,"", "",False),0)),false,true))"),FALSE)</f>
        <v>0</v>
      </c>
      <c r="W156" s="57" t="b">
        <f ca="1">IFERROR(__xludf.DUMMYFUNCTION("if($G156="""",false, if(isna(match(W$2, split($G156:$G383,"", "",False),0)),false,true))"),FALSE)</f>
        <v>0</v>
      </c>
    </row>
    <row r="157" spans="1:23" ht="56">
      <c r="A157" s="47" t="s">
        <v>502</v>
      </c>
      <c r="B157" s="48" t="s">
        <v>64</v>
      </c>
      <c r="C157" s="49" t="s">
        <v>419</v>
      </c>
      <c r="D157" s="50" t="s">
        <v>494</v>
      </c>
      <c r="E157" s="49" t="s">
        <v>7</v>
      </c>
      <c r="F157" s="51" t="s">
        <v>503</v>
      </c>
      <c r="G157" s="59"/>
      <c r="H157" s="53" t="b">
        <f ca="1">IFERROR(__xludf.DUMMYFUNCTION("if($G157="""",false, if(isna(match(H$2, split($G157:$G383,"", "",False),0)),false,true))"),FALSE)</f>
        <v>0</v>
      </c>
      <c r="I157" s="53" t="b">
        <f ca="1">IFERROR(__xludf.DUMMYFUNCTION("if($G157="""",false, if(isna(match(I$2, split($G157:$G383,"", "",False),0)),false,true))"),FALSE)</f>
        <v>0</v>
      </c>
      <c r="J157" s="53" t="b">
        <f ca="1">IFERROR(__xludf.DUMMYFUNCTION("if($G157="""",false, if(isna(match(J$2, split($G157:$G383,"", "",False),0)),false,true))"),FALSE)</f>
        <v>0</v>
      </c>
      <c r="K157" s="53" t="b">
        <f ca="1">IFERROR(__xludf.DUMMYFUNCTION("if($G157="""",false, if(isna(match(K$2, split($G157:$G383,"", "",False),0)),false,true))"),FALSE)</f>
        <v>0</v>
      </c>
      <c r="L157" s="53" t="b">
        <f ca="1">IFERROR(__xludf.DUMMYFUNCTION("if($G157="""",false, if(isna(match(L$2, split($G157:$G383,"", "",False),0)),false,true))"),FALSE)</f>
        <v>0</v>
      </c>
      <c r="M157" s="53" t="b">
        <f ca="1">IFERROR(__xludf.DUMMYFUNCTION("if($G157="""",false, if(isna(match(M$2, split($G157:$G383,"", "",False),0)),false,true))"),FALSE)</f>
        <v>0</v>
      </c>
      <c r="N157" s="53" t="b">
        <f ca="1">IFERROR(__xludf.DUMMYFUNCTION("if($G157="""",false, if(isna(match(N$2, split($G157:$G383,"", "",False),0)),false,true))"),FALSE)</f>
        <v>0</v>
      </c>
      <c r="O157" s="53" t="b">
        <f ca="1">IFERROR(__xludf.DUMMYFUNCTION("if($G157="""",false, if(isna(match(O$2, split($G157:$G383,"", "",False),0)),false,true))"),FALSE)</f>
        <v>0</v>
      </c>
      <c r="P157" s="53" t="b">
        <f ca="1">IFERROR(__xludf.DUMMYFUNCTION("if($G157="""",false, if(isna(match(P$2, split($G157:$G383,"", "",False),0)),false,true))"),FALSE)</f>
        <v>0</v>
      </c>
      <c r="Q157" s="53" t="b">
        <f ca="1">IFERROR(__xludf.DUMMYFUNCTION("if($G157="""",false, if(isna(match(Q$2, split($G157:$G383,"", "",False),0)),false,true))"),FALSE)</f>
        <v>0</v>
      </c>
      <c r="R157" s="53" t="b">
        <f ca="1">IFERROR(__xludf.DUMMYFUNCTION("if($G157="""",false, if(isna(match(R$2, split($G157:$G383,"", "",False),0)),false,true))"),FALSE)</f>
        <v>0</v>
      </c>
      <c r="S157" s="53" t="b">
        <f ca="1">IFERROR(__xludf.DUMMYFUNCTION("if($G157="""",false, if(isna(match(S$2, split($G157:$G383,"", "",False),0)),false,true))"),FALSE)</f>
        <v>0</v>
      </c>
      <c r="T157" s="53" t="b">
        <f ca="1">IFERROR(__xludf.DUMMYFUNCTION("if($G157="""",false, if(isna(match(T$2, split($G157:$G383,"", "",False),0)),false,true))"),FALSE)</f>
        <v>0</v>
      </c>
      <c r="U157" s="53" t="b">
        <f ca="1">IFERROR(__xludf.DUMMYFUNCTION("if($G157="""",false, if(isna(match(U$2, split($G157:$G383,"", "",False),0)),false,true))"),FALSE)</f>
        <v>0</v>
      </c>
      <c r="V157" s="53" t="b">
        <f ca="1">IFERROR(__xludf.DUMMYFUNCTION("if($G157="""",false, if(isna(match(V$2, split($G157:$G383,"", "",False),0)),false,true))"),FALSE)</f>
        <v>0</v>
      </c>
      <c r="W157" s="57" t="b">
        <f ca="1">IFERROR(__xludf.DUMMYFUNCTION("if($G157="""",false, if(isna(match(W$2, split($G157:$G383,"", "",False),0)),false,true))"),FALSE)</f>
        <v>0</v>
      </c>
    </row>
    <row r="158" spans="1:23" ht="56">
      <c r="A158" s="47" t="s">
        <v>504</v>
      </c>
      <c r="B158" s="48" t="s">
        <v>64</v>
      </c>
      <c r="C158" s="49" t="s">
        <v>419</v>
      </c>
      <c r="D158" s="50" t="s">
        <v>494</v>
      </c>
      <c r="E158" s="49" t="s">
        <v>7</v>
      </c>
      <c r="F158" s="51" t="s">
        <v>505</v>
      </c>
      <c r="G158" s="59" t="s">
        <v>7</v>
      </c>
      <c r="H158" s="53" t="b">
        <f ca="1">IFERROR(__xludf.DUMMYFUNCTION("if($G158="""",false, if(isna(match(H$2, split($G158:$G383,"", "",False),0)),false,true))"),FALSE)</f>
        <v>0</v>
      </c>
      <c r="I158" s="53" t="b">
        <f ca="1">IFERROR(__xludf.DUMMYFUNCTION("if($G158="""",false, if(isna(match(I$2, split($G158:$G383,"", "",False),0)),false,true))"),FALSE)</f>
        <v>0</v>
      </c>
      <c r="J158" s="53" t="b">
        <f ca="1">IFERROR(__xludf.DUMMYFUNCTION("if($G158="""",false, if(isna(match(J$2, split($G158:$G383,"", "",False),0)),false,true))"),FALSE)</f>
        <v>0</v>
      </c>
      <c r="K158" s="53" t="b">
        <f ca="1">IFERROR(__xludf.DUMMYFUNCTION("if($G158="""",false, if(isna(match(K$2, split($G158:$G383,"", "",False),0)),false,true))"),FALSE)</f>
        <v>0</v>
      </c>
      <c r="L158" s="53" t="b">
        <f ca="1">IFERROR(__xludf.DUMMYFUNCTION("if($G158="""",false, if(isna(match(L$2, split($G158:$G383,"", "",False),0)),false,true))"),FALSE)</f>
        <v>0</v>
      </c>
      <c r="M158" s="53" t="b">
        <f ca="1">IFERROR(__xludf.DUMMYFUNCTION("if($G158="""",false, if(isna(match(M$2, split($G158:$G383,"", "",False),0)),false,true))"),FALSE)</f>
        <v>0</v>
      </c>
      <c r="N158" s="53" t="b">
        <f ca="1">IFERROR(__xludf.DUMMYFUNCTION("if($G158="""",false, if(isna(match(N$2, split($G158:$G383,"", "",False),0)),false,true))"),FALSE)</f>
        <v>0</v>
      </c>
      <c r="O158" s="53" t="b">
        <f ca="1">IFERROR(__xludf.DUMMYFUNCTION("if($G158="""",false, if(isna(match(O$2, split($G158:$G383,"", "",False),0)),false,true))"),FALSE)</f>
        <v>0</v>
      </c>
      <c r="P158" s="53" t="b">
        <f ca="1">IFERROR(__xludf.DUMMYFUNCTION("if($G158="""",false, if(isna(match(P$2, split($G158:$G383,"", "",False),0)),false,true))"),FALSE)</f>
        <v>0</v>
      </c>
      <c r="Q158" s="53" t="b">
        <f ca="1">IFERROR(__xludf.DUMMYFUNCTION("if($G158="""",false, if(isna(match(Q$2, split($G158:$G383,"", "",False),0)),false,true))"),FALSE)</f>
        <v>0</v>
      </c>
      <c r="R158" s="53" t="b">
        <f ca="1">IFERROR(__xludf.DUMMYFUNCTION("if($G158="""",false, if(isna(match(R$2, split($G158:$G383,"", "",False),0)),false,true))"),FALSE)</f>
        <v>0</v>
      </c>
      <c r="S158" s="53" t="b">
        <f ca="1">IFERROR(__xludf.DUMMYFUNCTION("if($G158="""",false, if(isna(match(S$2, split($G158:$G383,"", "",False),0)),false,true))"),FALSE)</f>
        <v>0</v>
      </c>
      <c r="T158" s="53" t="b">
        <f ca="1">IFERROR(__xludf.DUMMYFUNCTION("if($G158="""",false, if(isna(match(T$2, split($G158:$G383,"", "",False),0)),false,true))"),FALSE)</f>
        <v>0</v>
      </c>
      <c r="U158" s="53" t="b">
        <f ca="1">IFERROR(__xludf.DUMMYFUNCTION("if($G158="""",false, if(isna(match(U$2, split($G158:$G383,"", "",False),0)),false,true))"),FALSE)</f>
        <v>0</v>
      </c>
      <c r="V158" s="53" t="b">
        <f ca="1">IFERROR(__xludf.DUMMYFUNCTION("if($G158="""",false, if(isna(match(V$2, split($G158:$G383,"", "",False),0)),false,true))"),FALSE)</f>
        <v>0</v>
      </c>
      <c r="W158" s="57" t="b">
        <f ca="1">IFERROR(__xludf.DUMMYFUNCTION("if($G158="""",false, if(isna(match(W$2, split($G158:$G383,"", "",False),0)),false,true))"),FALSE)</f>
        <v>0</v>
      </c>
    </row>
    <row r="159" spans="1:23" ht="42">
      <c r="A159" s="47" t="s">
        <v>506</v>
      </c>
      <c r="B159" s="48" t="s">
        <v>64</v>
      </c>
      <c r="C159" s="49" t="s">
        <v>419</v>
      </c>
      <c r="D159" s="50" t="s">
        <v>494</v>
      </c>
      <c r="E159" s="49" t="s">
        <v>7</v>
      </c>
      <c r="F159" s="51" t="s">
        <v>507</v>
      </c>
      <c r="G159" s="59" t="s">
        <v>7</v>
      </c>
      <c r="H159" s="53" t="b">
        <f ca="1">IFERROR(__xludf.DUMMYFUNCTION("if($G159="""",false, if(isna(match(H$2, split($G159:$G383,"", "",False),0)),false,true))"),FALSE)</f>
        <v>0</v>
      </c>
      <c r="I159" s="53" t="b">
        <f ca="1">IFERROR(__xludf.DUMMYFUNCTION("if($G159="""",false, if(isna(match(I$2, split($G159:$G383,"", "",False),0)),false,true))"),FALSE)</f>
        <v>0</v>
      </c>
      <c r="J159" s="53" t="b">
        <f ca="1">IFERROR(__xludf.DUMMYFUNCTION("if($G159="""",false, if(isna(match(J$2, split($G159:$G383,"", "",False),0)),false,true))"),FALSE)</f>
        <v>0</v>
      </c>
      <c r="K159" s="53" t="b">
        <f ca="1">IFERROR(__xludf.DUMMYFUNCTION("if($G159="""",false, if(isna(match(K$2, split($G159:$G383,"", "",False),0)),false,true))"),FALSE)</f>
        <v>0</v>
      </c>
      <c r="L159" s="53" t="b">
        <f ca="1">IFERROR(__xludf.DUMMYFUNCTION("if($G159="""",false, if(isna(match(L$2, split($G159:$G383,"", "",False),0)),false,true))"),FALSE)</f>
        <v>0</v>
      </c>
      <c r="M159" s="53" t="b">
        <f ca="1">IFERROR(__xludf.DUMMYFUNCTION("if($G159="""",false, if(isna(match(M$2, split($G159:$G383,"", "",False),0)),false,true))"),FALSE)</f>
        <v>0</v>
      </c>
      <c r="N159" s="53" t="b">
        <f ca="1">IFERROR(__xludf.DUMMYFUNCTION("if($G159="""",false, if(isna(match(N$2, split($G159:$G383,"", "",False),0)),false,true))"),FALSE)</f>
        <v>0</v>
      </c>
      <c r="O159" s="53" t="b">
        <f ca="1">IFERROR(__xludf.DUMMYFUNCTION("if($G159="""",false, if(isna(match(O$2, split($G159:$G383,"", "",False),0)),false,true))"),FALSE)</f>
        <v>0</v>
      </c>
      <c r="P159" s="53" t="b">
        <f ca="1">IFERROR(__xludf.DUMMYFUNCTION("if($G159="""",false, if(isna(match(P$2, split($G159:$G383,"", "",False),0)),false,true))"),FALSE)</f>
        <v>0</v>
      </c>
      <c r="Q159" s="53" t="b">
        <f ca="1">IFERROR(__xludf.DUMMYFUNCTION("if($G159="""",false, if(isna(match(Q$2, split($G159:$G383,"", "",False),0)),false,true))"),FALSE)</f>
        <v>0</v>
      </c>
      <c r="R159" s="53" t="b">
        <f ca="1">IFERROR(__xludf.DUMMYFUNCTION("if($G159="""",false, if(isna(match(R$2, split($G159:$G383,"", "",False),0)),false,true))"),FALSE)</f>
        <v>0</v>
      </c>
      <c r="S159" s="53" t="b">
        <f ca="1">IFERROR(__xludf.DUMMYFUNCTION("if($G159="""",false, if(isna(match(S$2, split($G159:$G383,"", "",False),0)),false,true))"),FALSE)</f>
        <v>0</v>
      </c>
      <c r="T159" s="53" t="b">
        <f ca="1">IFERROR(__xludf.DUMMYFUNCTION("if($G159="""",false, if(isna(match(T$2, split($G159:$G383,"", "",False),0)),false,true))"),FALSE)</f>
        <v>0</v>
      </c>
      <c r="U159" s="53" t="b">
        <f ca="1">IFERROR(__xludf.DUMMYFUNCTION("if($G159="""",false, if(isna(match(U$2, split($G159:$G383,"", "",False),0)),false,true))"),FALSE)</f>
        <v>0</v>
      </c>
      <c r="V159" s="53" t="b">
        <f ca="1">IFERROR(__xludf.DUMMYFUNCTION("if($G159="""",false, if(isna(match(V$2, split($G159:$G383,"", "",False),0)),false,true))"),FALSE)</f>
        <v>0</v>
      </c>
      <c r="W159" s="57" t="b">
        <f ca="1">IFERROR(__xludf.DUMMYFUNCTION("if($G159="""",false, if(isna(match(W$2, split($G159:$G383,"", "",False),0)),false,true))"),FALSE)</f>
        <v>0</v>
      </c>
    </row>
    <row r="160" spans="1:23" ht="28">
      <c r="A160" s="47" t="s">
        <v>508</v>
      </c>
      <c r="B160" s="48" t="s">
        <v>64</v>
      </c>
      <c r="C160" s="49" t="s">
        <v>419</v>
      </c>
      <c r="D160" s="50" t="s">
        <v>494</v>
      </c>
      <c r="E160" s="49" t="s">
        <v>7</v>
      </c>
      <c r="F160" s="51" t="s">
        <v>509</v>
      </c>
      <c r="G160" s="59" t="s">
        <v>7</v>
      </c>
      <c r="H160" s="53" t="b">
        <f ca="1">IFERROR(__xludf.DUMMYFUNCTION("if($G160="""",false, if(isna(match(H$2, split($G160:$G383,"", "",False),0)),false,true))"),FALSE)</f>
        <v>0</v>
      </c>
      <c r="I160" s="53" t="b">
        <f ca="1">IFERROR(__xludf.DUMMYFUNCTION("if($G160="""",false, if(isna(match(I$2, split($G160:$G383,"", "",False),0)),false,true))"),FALSE)</f>
        <v>0</v>
      </c>
      <c r="J160" s="53" t="b">
        <f ca="1">IFERROR(__xludf.DUMMYFUNCTION("if($G160="""",false, if(isna(match(J$2, split($G160:$G383,"", "",False),0)),false,true))"),FALSE)</f>
        <v>0</v>
      </c>
      <c r="K160" s="53" t="b">
        <f ca="1">IFERROR(__xludf.DUMMYFUNCTION("if($G160="""",false, if(isna(match(K$2, split($G160:$G383,"", "",False),0)),false,true))"),FALSE)</f>
        <v>0</v>
      </c>
      <c r="L160" s="53" t="b">
        <f ca="1">IFERROR(__xludf.DUMMYFUNCTION("if($G160="""",false, if(isna(match(L$2, split($G160:$G383,"", "",False),0)),false,true))"),FALSE)</f>
        <v>0</v>
      </c>
      <c r="M160" s="53" t="b">
        <f ca="1">IFERROR(__xludf.DUMMYFUNCTION("if($G160="""",false, if(isna(match(M$2, split($G160:$G383,"", "",False),0)),false,true))"),FALSE)</f>
        <v>0</v>
      </c>
      <c r="N160" s="53" t="b">
        <f ca="1">IFERROR(__xludf.DUMMYFUNCTION("if($G160="""",false, if(isna(match(N$2, split($G160:$G383,"", "",False),0)),false,true))"),FALSE)</f>
        <v>0</v>
      </c>
      <c r="O160" s="53" t="b">
        <f ca="1">IFERROR(__xludf.DUMMYFUNCTION("if($G160="""",false, if(isna(match(O$2, split($G160:$G383,"", "",False),0)),false,true))"),FALSE)</f>
        <v>0</v>
      </c>
      <c r="P160" s="53" t="b">
        <f ca="1">IFERROR(__xludf.DUMMYFUNCTION("if($G160="""",false, if(isna(match(P$2, split($G160:$G383,"", "",False),0)),false,true))"),FALSE)</f>
        <v>0</v>
      </c>
      <c r="Q160" s="53" t="b">
        <f ca="1">IFERROR(__xludf.DUMMYFUNCTION("if($G160="""",false, if(isna(match(Q$2, split($G160:$G383,"", "",False),0)),false,true))"),FALSE)</f>
        <v>0</v>
      </c>
      <c r="R160" s="53" t="b">
        <f ca="1">IFERROR(__xludf.DUMMYFUNCTION("if($G160="""",false, if(isna(match(R$2, split($G160:$G383,"", "",False),0)),false,true))"),FALSE)</f>
        <v>0</v>
      </c>
      <c r="S160" s="53" t="b">
        <f ca="1">IFERROR(__xludf.DUMMYFUNCTION("if($G160="""",false, if(isna(match(S$2, split($G160:$G383,"", "",False),0)),false,true))"),FALSE)</f>
        <v>0</v>
      </c>
      <c r="T160" s="53" t="b">
        <f ca="1">IFERROR(__xludf.DUMMYFUNCTION("if($G160="""",false, if(isna(match(T$2, split($G160:$G383,"", "",False),0)),false,true))"),FALSE)</f>
        <v>0</v>
      </c>
      <c r="U160" s="53" t="b">
        <f ca="1">IFERROR(__xludf.DUMMYFUNCTION("if($G160="""",false, if(isna(match(U$2, split($G160:$G383,"", "",False),0)),false,true))"),FALSE)</f>
        <v>0</v>
      </c>
      <c r="V160" s="53" t="b">
        <f ca="1">IFERROR(__xludf.DUMMYFUNCTION("if($G160="""",false, if(isna(match(V$2, split($G160:$G383,"", "",False),0)),false,true))"),FALSE)</f>
        <v>0</v>
      </c>
      <c r="W160" s="57" t="b">
        <f ca="1">IFERROR(__xludf.DUMMYFUNCTION("if($G160="""",false, if(isna(match(W$2, split($G160:$G383,"", "",False),0)),false,true))"),FALSE)</f>
        <v>0</v>
      </c>
    </row>
    <row r="161" spans="1:23" ht="70">
      <c r="A161" s="47" t="s">
        <v>510</v>
      </c>
      <c r="B161" s="48" t="s">
        <v>64</v>
      </c>
      <c r="C161" s="49" t="s">
        <v>419</v>
      </c>
      <c r="D161" s="50" t="s">
        <v>494</v>
      </c>
      <c r="E161" s="49" t="s">
        <v>96</v>
      </c>
      <c r="F161" s="51" t="s">
        <v>511</v>
      </c>
      <c r="G161" s="59" t="s">
        <v>377</v>
      </c>
      <c r="H161" s="53" t="b">
        <f ca="1">IFERROR(__xludf.DUMMYFUNCTION("if($G161="""",false, if(isna(match(H$2, split($G161:$G383,"", "",False),0)),false,true))"),FALSE)</f>
        <v>0</v>
      </c>
      <c r="I161" s="53" t="b">
        <f ca="1">IFERROR(__xludf.DUMMYFUNCTION("if($G161="""",false, if(isna(match(I$2, split($G161:$G383,"", "",False),0)),false,true))"),FALSE)</f>
        <v>0</v>
      </c>
      <c r="J161" s="53" t="b">
        <f ca="1">IFERROR(__xludf.DUMMYFUNCTION("if($G161="""",false, if(isna(match(J$2, split($G161:$G383,"", "",False),0)),false,true))"),FALSE)</f>
        <v>0</v>
      </c>
      <c r="K161" s="53" t="b">
        <f ca="1">IFERROR(__xludf.DUMMYFUNCTION("if($G161="""",false, if(isna(match(K$2, split($G161:$G383,"", "",False),0)),false,true))"),FALSE)</f>
        <v>0</v>
      </c>
      <c r="L161" s="53" t="b">
        <f ca="1">IFERROR(__xludf.DUMMYFUNCTION("if($G161="""",false, if(isna(match(L$2, split($G161:$G383,"", "",False),0)),false,true))"),FALSE)</f>
        <v>0</v>
      </c>
      <c r="M161" s="53" t="b">
        <f ca="1">IFERROR(__xludf.DUMMYFUNCTION("if($G161="""",false, if(isna(match(M$2, split($G161:$G383,"", "",False),0)),false,true))"),FALSE)</f>
        <v>0</v>
      </c>
      <c r="N161" s="53" t="b">
        <f ca="1">IFERROR(__xludf.DUMMYFUNCTION("if($G161="""",false, if(isna(match(N$2, split($G161:$G383,"", "",False),0)),false,true))"),FALSE)</f>
        <v>0</v>
      </c>
      <c r="O161" s="53" t="b">
        <f ca="1">IFERROR(__xludf.DUMMYFUNCTION("if($G161="""",false, if(isna(match(O$2, split($G161:$G383,"", "",False),0)),false,true))"),FALSE)</f>
        <v>0</v>
      </c>
      <c r="P161" s="53" t="b">
        <f ca="1">IFERROR(__xludf.DUMMYFUNCTION("if($G161="""",false, if(isna(match(P$2, split($G161:$G383,"", "",False),0)),false,true))"),FALSE)</f>
        <v>0</v>
      </c>
      <c r="Q161" s="53" t="b">
        <f ca="1">IFERROR(__xludf.DUMMYFUNCTION("if($G161="""",false, if(isna(match(Q$2, split($G161:$G383,"", "",False),0)),false,true))"),FALSE)</f>
        <v>0</v>
      </c>
      <c r="R161" s="53" t="b">
        <f ca="1">IFERROR(__xludf.DUMMYFUNCTION("if($G161="""",false, if(isna(match(R$2, split($G161:$G383,"", "",False),0)),false,true))"),FALSE)</f>
        <v>0</v>
      </c>
      <c r="S161" s="53" t="b">
        <f ca="1">IFERROR(__xludf.DUMMYFUNCTION("if($G161="""",false, if(isna(match(S$2, split($G161:$G383,"", "",False),0)),false,true))"),FALSE)</f>
        <v>0</v>
      </c>
      <c r="T161" s="53" t="b">
        <f ca="1">IFERROR(__xludf.DUMMYFUNCTION("if($G161="""",false, if(isna(match(T$2, split($G161:$G383,"", "",False),0)),false,true))"),FALSE)</f>
        <v>0</v>
      </c>
      <c r="U161" s="53" t="b">
        <f ca="1">IFERROR(__xludf.DUMMYFUNCTION("if($G161="""",false, if(isna(match(U$2, split($G161:$G383,"", "",False),0)),false,true))"),FALSE)</f>
        <v>0</v>
      </c>
      <c r="V161" s="53" t="b">
        <f ca="1">IFERROR(__xludf.DUMMYFUNCTION("if($G161="""",false, if(isna(match(V$2, split($G161:$G383,"", "",False),0)),false,true))"),FALSE)</f>
        <v>0</v>
      </c>
      <c r="W161" s="57" t="b">
        <f ca="1">IFERROR(__xludf.DUMMYFUNCTION("if($G161="""",false, if(isna(match(W$2, split($G161:$G383,"", "",False),0)),false,true))"),FALSE)</f>
        <v>0</v>
      </c>
    </row>
    <row r="162" spans="1:23" ht="56">
      <c r="A162" s="47" t="s">
        <v>512</v>
      </c>
      <c r="B162" s="48" t="s">
        <v>64</v>
      </c>
      <c r="C162" s="49" t="s">
        <v>419</v>
      </c>
      <c r="D162" s="50" t="s">
        <v>513</v>
      </c>
      <c r="E162" s="49" t="s">
        <v>514</v>
      </c>
      <c r="F162" s="51" t="s">
        <v>515</v>
      </c>
      <c r="G162" s="59" t="s">
        <v>112</v>
      </c>
      <c r="H162" s="53" t="b">
        <f ca="1">IFERROR(__xludf.DUMMYFUNCTION("if($G162="""",false, if(isna(match(H$2, split($G162:$G383,"", "",False),0)),false,true))"),FALSE)</f>
        <v>0</v>
      </c>
      <c r="I162" s="53" t="b">
        <f ca="1">IFERROR(__xludf.DUMMYFUNCTION("if($G162="""",false, if(isna(match(I$2, split($G162:$G383,"", "",False),0)),false,true))"),FALSE)</f>
        <v>0</v>
      </c>
      <c r="J162" s="53" t="b">
        <f ca="1">IFERROR(__xludf.DUMMYFUNCTION("if($G162="""",false, if(isna(match(J$2, split($G162:$G383,"", "",False),0)),false,true))"),FALSE)</f>
        <v>0</v>
      </c>
      <c r="K162" s="53" t="b">
        <f ca="1">IFERROR(__xludf.DUMMYFUNCTION("if($G162="""",false, if(isna(match(K$2, split($G162:$G383,"", "",False),0)),false,true))"),FALSE)</f>
        <v>0</v>
      </c>
      <c r="L162" s="53" t="b">
        <f ca="1">IFERROR(__xludf.DUMMYFUNCTION("if($G162="""",false, if(isna(match(L$2, split($G162:$G383,"", "",False),0)),false,true))"),TRUE)</f>
        <v>1</v>
      </c>
      <c r="M162" s="53" t="b">
        <f ca="1">IFERROR(__xludf.DUMMYFUNCTION("if($G162="""",false, if(isna(match(M$2, split($G162:$G383,"", "",False),0)),false,true))"),FALSE)</f>
        <v>0</v>
      </c>
      <c r="N162" s="53" t="b">
        <f ca="1">IFERROR(__xludf.DUMMYFUNCTION("if($G162="""",false, if(isna(match(N$2, split($G162:$G383,"", "",False),0)),false,true))"),FALSE)</f>
        <v>0</v>
      </c>
      <c r="O162" s="53" t="b">
        <f ca="1">IFERROR(__xludf.DUMMYFUNCTION("if($G162="""",false, if(isna(match(O$2, split($G162:$G383,"", "",False),0)),false,true))"),FALSE)</f>
        <v>0</v>
      </c>
      <c r="P162" s="53" t="b">
        <f ca="1">IFERROR(__xludf.DUMMYFUNCTION("if($G162="""",false, if(isna(match(P$2, split($G162:$G383,"", "",False),0)),false,true))"),FALSE)</f>
        <v>0</v>
      </c>
      <c r="Q162" s="53" t="b">
        <f ca="1">IFERROR(__xludf.DUMMYFUNCTION("if($G162="""",false, if(isna(match(Q$2, split($G162:$G383,"", "",False),0)),false,true))"),FALSE)</f>
        <v>0</v>
      </c>
      <c r="R162" s="53" t="b">
        <f ca="1">IFERROR(__xludf.DUMMYFUNCTION("if($G162="""",false, if(isna(match(R$2, split($G162:$G383,"", "",False),0)),false,true))"),FALSE)</f>
        <v>0</v>
      </c>
      <c r="S162" s="53" t="b">
        <f ca="1">IFERROR(__xludf.DUMMYFUNCTION("if($G162="""",false, if(isna(match(S$2, split($G162:$G383,"", "",False),0)),false,true))"),FALSE)</f>
        <v>0</v>
      </c>
      <c r="T162" s="53" t="b">
        <f ca="1">IFERROR(__xludf.DUMMYFUNCTION("if($G162="""",false, if(isna(match(T$2, split($G162:$G383,"", "",False),0)),false,true))"),FALSE)</f>
        <v>0</v>
      </c>
      <c r="U162" s="53" t="b">
        <f ca="1">IFERROR(__xludf.DUMMYFUNCTION("if($G162="""",false, if(isna(match(U$2, split($G162:$G383,"", "",False),0)),false,true))"),FALSE)</f>
        <v>0</v>
      </c>
      <c r="V162" s="53" t="b">
        <f ca="1">IFERROR(__xludf.DUMMYFUNCTION("if($G162="""",false, if(isna(match(V$2, split($G162:$G383,"", "",False),0)),false,true))"),FALSE)</f>
        <v>0</v>
      </c>
      <c r="W162" s="57" t="b">
        <f ca="1">IFERROR(__xludf.DUMMYFUNCTION("if($G162="""",false, if(isna(match(W$2, split($G162:$G383,"", "",False),0)),false,true))"),FALSE)</f>
        <v>0</v>
      </c>
    </row>
    <row r="163" spans="1:23" ht="56">
      <c r="A163" s="47" t="s">
        <v>516</v>
      </c>
      <c r="B163" s="48" t="s">
        <v>64</v>
      </c>
      <c r="C163" s="49" t="s">
        <v>419</v>
      </c>
      <c r="D163" s="50" t="s">
        <v>513</v>
      </c>
      <c r="E163" s="49" t="s">
        <v>517</v>
      </c>
      <c r="F163" s="51" t="s">
        <v>518</v>
      </c>
      <c r="G163" s="59" t="s">
        <v>112</v>
      </c>
      <c r="H163" s="53" t="b">
        <f ca="1">IFERROR(__xludf.DUMMYFUNCTION("if($G163="""",false, if(isna(match(H$2, split($G163:$G383,"", "",False),0)),false,true))"),FALSE)</f>
        <v>0</v>
      </c>
      <c r="I163" s="53" t="b">
        <f ca="1">IFERROR(__xludf.DUMMYFUNCTION("if($G163="""",false, if(isna(match(I$2, split($G163:$G383,"", "",False),0)),false,true))"),FALSE)</f>
        <v>0</v>
      </c>
      <c r="J163" s="53" t="b">
        <f ca="1">IFERROR(__xludf.DUMMYFUNCTION("if($G163="""",false, if(isna(match(J$2, split($G163:$G383,"", "",False),0)),false,true))"),FALSE)</f>
        <v>0</v>
      </c>
      <c r="K163" s="53" t="b">
        <f ca="1">IFERROR(__xludf.DUMMYFUNCTION("if($G163="""",false, if(isna(match(K$2, split($G163:$G383,"", "",False),0)),false,true))"),FALSE)</f>
        <v>0</v>
      </c>
      <c r="L163" s="53" t="b">
        <f ca="1">IFERROR(__xludf.DUMMYFUNCTION("if($G163="""",false, if(isna(match(L$2, split($G163:$G383,"", "",False),0)),false,true))"),TRUE)</f>
        <v>1</v>
      </c>
      <c r="M163" s="53" t="b">
        <f ca="1">IFERROR(__xludf.DUMMYFUNCTION("if($G163="""",false, if(isna(match(M$2, split($G163:$G383,"", "",False),0)),false,true))"),FALSE)</f>
        <v>0</v>
      </c>
      <c r="N163" s="53" t="b">
        <f ca="1">IFERROR(__xludf.DUMMYFUNCTION("if($G163="""",false, if(isna(match(N$2, split($G163:$G383,"", "",False),0)),false,true))"),FALSE)</f>
        <v>0</v>
      </c>
      <c r="O163" s="53" t="b">
        <f ca="1">IFERROR(__xludf.DUMMYFUNCTION("if($G163="""",false, if(isna(match(O$2, split($G163:$G383,"", "",False),0)),false,true))"),FALSE)</f>
        <v>0</v>
      </c>
      <c r="P163" s="53" t="b">
        <f ca="1">IFERROR(__xludf.DUMMYFUNCTION("if($G163="""",false, if(isna(match(P$2, split($G163:$G383,"", "",False),0)),false,true))"),FALSE)</f>
        <v>0</v>
      </c>
      <c r="Q163" s="53" t="b">
        <f ca="1">IFERROR(__xludf.DUMMYFUNCTION("if($G163="""",false, if(isna(match(Q$2, split($G163:$G383,"", "",False),0)),false,true))"),FALSE)</f>
        <v>0</v>
      </c>
      <c r="R163" s="53" t="b">
        <f ca="1">IFERROR(__xludf.DUMMYFUNCTION("if($G163="""",false, if(isna(match(R$2, split($G163:$G383,"", "",False),0)),false,true))"),FALSE)</f>
        <v>0</v>
      </c>
      <c r="S163" s="53" t="b">
        <f ca="1">IFERROR(__xludf.DUMMYFUNCTION("if($G163="""",false, if(isna(match(S$2, split($G163:$G383,"", "",False),0)),false,true))"),FALSE)</f>
        <v>0</v>
      </c>
      <c r="T163" s="53" t="b">
        <f ca="1">IFERROR(__xludf.DUMMYFUNCTION("if($G163="""",false, if(isna(match(T$2, split($G163:$G383,"", "",False),0)),false,true))"),FALSE)</f>
        <v>0</v>
      </c>
      <c r="U163" s="53" t="b">
        <f ca="1">IFERROR(__xludf.DUMMYFUNCTION("if($G163="""",false, if(isna(match(U$2, split($G163:$G383,"", "",False),0)),false,true))"),FALSE)</f>
        <v>0</v>
      </c>
      <c r="V163" s="53" t="b">
        <f ca="1">IFERROR(__xludf.DUMMYFUNCTION("if($G163="""",false, if(isna(match(V$2, split($G163:$G383,"", "",False),0)),false,true))"),FALSE)</f>
        <v>0</v>
      </c>
      <c r="W163" s="57" t="b">
        <f ca="1">IFERROR(__xludf.DUMMYFUNCTION("if($G163="""",false, if(isna(match(W$2, split($G163:$G383,"", "",False),0)),false,true))"),FALSE)</f>
        <v>0</v>
      </c>
    </row>
    <row r="164" spans="1:23" ht="70">
      <c r="A164" s="47" t="s">
        <v>519</v>
      </c>
      <c r="B164" s="48" t="s">
        <v>64</v>
      </c>
      <c r="C164" s="49" t="s">
        <v>419</v>
      </c>
      <c r="D164" s="50" t="s">
        <v>513</v>
      </c>
      <c r="E164" s="49" t="s">
        <v>517</v>
      </c>
      <c r="F164" s="51" t="s">
        <v>520</v>
      </c>
      <c r="G164" s="59" t="s">
        <v>112</v>
      </c>
      <c r="H164" s="53" t="b">
        <f ca="1">IFERROR(__xludf.DUMMYFUNCTION("if($G164="""",false, if(isna(match(H$2, split($G164:$G383,"", "",False),0)),false,true))"),FALSE)</f>
        <v>0</v>
      </c>
      <c r="I164" s="53" t="b">
        <f ca="1">IFERROR(__xludf.DUMMYFUNCTION("if($G164="""",false, if(isna(match(I$2, split($G164:$G383,"", "",False),0)),false,true))"),FALSE)</f>
        <v>0</v>
      </c>
      <c r="J164" s="53" t="b">
        <f ca="1">IFERROR(__xludf.DUMMYFUNCTION("if($G164="""",false, if(isna(match(J$2, split($G164:$G383,"", "",False),0)),false,true))"),FALSE)</f>
        <v>0</v>
      </c>
      <c r="K164" s="53" t="b">
        <f ca="1">IFERROR(__xludf.DUMMYFUNCTION("if($G164="""",false, if(isna(match(K$2, split($G164:$G383,"", "",False),0)),false,true))"),FALSE)</f>
        <v>0</v>
      </c>
      <c r="L164" s="53" t="b">
        <f ca="1">IFERROR(__xludf.DUMMYFUNCTION("if($G164="""",false, if(isna(match(L$2, split($G164:$G383,"", "",False),0)),false,true))"),TRUE)</f>
        <v>1</v>
      </c>
      <c r="M164" s="53" t="b">
        <f ca="1">IFERROR(__xludf.DUMMYFUNCTION("if($G164="""",false, if(isna(match(M$2, split($G164:$G383,"", "",False),0)),false,true))"),FALSE)</f>
        <v>0</v>
      </c>
      <c r="N164" s="53" t="b">
        <f ca="1">IFERROR(__xludf.DUMMYFUNCTION("if($G164="""",false, if(isna(match(N$2, split($G164:$G383,"", "",False),0)),false,true))"),FALSE)</f>
        <v>0</v>
      </c>
      <c r="O164" s="53" t="b">
        <f ca="1">IFERROR(__xludf.DUMMYFUNCTION("if($G164="""",false, if(isna(match(O$2, split($G164:$G383,"", "",False),0)),false,true))"),FALSE)</f>
        <v>0</v>
      </c>
      <c r="P164" s="53" t="b">
        <f ca="1">IFERROR(__xludf.DUMMYFUNCTION("if($G164="""",false, if(isna(match(P$2, split($G164:$G383,"", "",False),0)),false,true))"),FALSE)</f>
        <v>0</v>
      </c>
      <c r="Q164" s="53" t="b">
        <f ca="1">IFERROR(__xludf.DUMMYFUNCTION("if($G164="""",false, if(isna(match(Q$2, split($G164:$G383,"", "",False),0)),false,true))"),FALSE)</f>
        <v>0</v>
      </c>
      <c r="R164" s="53" t="b">
        <f ca="1">IFERROR(__xludf.DUMMYFUNCTION("if($G164="""",false, if(isna(match(R$2, split($G164:$G383,"", "",False),0)),false,true))"),FALSE)</f>
        <v>0</v>
      </c>
      <c r="S164" s="53" t="b">
        <f ca="1">IFERROR(__xludf.DUMMYFUNCTION("if($G164="""",false, if(isna(match(S$2, split($G164:$G383,"", "",False),0)),false,true))"),FALSE)</f>
        <v>0</v>
      </c>
      <c r="T164" s="53" t="b">
        <f ca="1">IFERROR(__xludf.DUMMYFUNCTION("if($G164="""",false, if(isna(match(T$2, split($G164:$G383,"", "",False),0)),false,true))"),FALSE)</f>
        <v>0</v>
      </c>
      <c r="U164" s="53" t="b">
        <f ca="1">IFERROR(__xludf.DUMMYFUNCTION("if($G164="""",false, if(isna(match(U$2, split($G164:$G383,"", "",False),0)),false,true))"),FALSE)</f>
        <v>0</v>
      </c>
      <c r="V164" s="53" t="b">
        <f ca="1">IFERROR(__xludf.DUMMYFUNCTION("if($G164="""",false, if(isna(match(V$2, split($G164:$G383,"", "",False),0)),false,true))"),FALSE)</f>
        <v>0</v>
      </c>
      <c r="W164" s="57" t="b">
        <f ca="1">IFERROR(__xludf.DUMMYFUNCTION("if($G164="""",false, if(isna(match(W$2, split($G164:$G383,"", "",False),0)),false,true))"),FALSE)</f>
        <v>0</v>
      </c>
    </row>
    <row r="165" spans="1:23" ht="42">
      <c r="A165" s="47" t="s">
        <v>521</v>
      </c>
      <c r="B165" s="48" t="s">
        <v>64</v>
      </c>
      <c r="C165" s="49" t="s">
        <v>419</v>
      </c>
      <c r="D165" s="50" t="s">
        <v>513</v>
      </c>
      <c r="E165" s="49" t="s">
        <v>517</v>
      </c>
      <c r="F165" s="51" t="s">
        <v>522</v>
      </c>
      <c r="G165" s="59" t="s">
        <v>112</v>
      </c>
      <c r="H165" s="53" t="b">
        <f ca="1">IFERROR(__xludf.DUMMYFUNCTION("if($G165="""",false, if(isna(match(H$2, split($G165:$G383,"", "",False),0)),false,true))"),FALSE)</f>
        <v>0</v>
      </c>
      <c r="I165" s="53" t="b">
        <f ca="1">IFERROR(__xludf.DUMMYFUNCTION("if($G165="""",false, if(isna(match(I$2, split($G165:$G383,"", "",False),0)),false,true))"),FALSE)</f>
        <v>0</v>
      </c>
      <c r="J165" s="53" t="b">
        <f ca="1">IFERROR(__xludf.DUMMYFUNCTION("if($G165="""",false, if(isna(match(J$2, split($G165:$G383,"", "",False),0)),false,true))"),FALSE)</f>
        <v>0</v>
      </c>
      <c r="K165" s="53" t="b">
        <f ca="1">IFERROR(__xludf.DUMMYFUNCTION("if($G165="""",false, if(isna(match(K$2, split($G165:$G383,"", "",False),0)),false,true))"),FALSE)</f>
        <v>0</v>
      </c>
      <c r="L165" s="53" t="b">
        <f ca="1">IFERROR(__xludf.DUMMYFUNCTION("if($G165="""",false, if(isna(match(L$2, split($G165:$G383,"", "",False),0)),false,true))"),TRUE)</f>
        <v>1</v>
      </c>
      <c r="M165" s="53" t="b">
        <f ca="1">IFERROR(__xludf.DUMMYFUNCTION("if($G165="""",false, if(isna(match(M$2, split($G165:$G383,"", "",False),0)),false,true))"),FALSE)</f>
        <v>0</v>
      </c>
      <c r="N165" s="53" t="b">
        <f ca="1">IFERROR(__xludf.DUMMYFUNCTION("if($G165="""",false, if(isna(match(N$2, split($G165:$G383,"", "",False),0)),false,true))"),FALSE)</f>
        <v>0</v>
      </c>
      <c r="O165" s="53" t="b">
        <f ca="1">IFERROR(__xludf.DUMMYFUNCTION("if($G165="""",false, if(isna(match(O$2, split($G165:$G383,"", "",False),0)),false,true))"),FALSE)</f>
        <v>0</v>
      </c>
      <c r="P165" s="53" t="b">
        <f ca="1">IFERROR(__xludf.DUMMYFUNCTION("if($G165="""",false, if(isna(match(P$2, split($G165:$G383,"", "",False),0)),false,true))"),FALSE)</f>
        <v>0</v>
      </c>
      <c r="Q165" s="53" t="b">
        <f ca="1">IFERROR(__xludf.DUMMYFUNCTION("if($G165="""",false, if(isna(match(Q$2, split($G165:$G383,"", "",False),0)),false,true))"),FALSE)</f>
        <v>0</v>
      </c>
      <c r="R165" s="53" t="b">
        <f ca="1">IFERROR(__xludf.DUMMYFUNCTION("if($G165="""",false, if(isna(match(R$2, split($G165:$G383,"", "",False),0)),false,true))"),FALSE)</f>
        <v>0</v>
      </c>
      <c r="S165" s="53" t="b">
        <f ca="1">IFERROR(__xludf.DUMMYFUNCTION("if($G165="""",false, if(isna(match(S$2, split($G165:$G383,"", "",False),0)),false,true))"),FALSE)</f>
        <v>0</v>
      </c>
      <c r="T165" s="53" t="b">
        <f ca="1">IFERROR(__xludf.DUMMYFUNCTION("if($G165="""",false, if(isna(match(T$2, split($G165:$G383,"", "",False),0)),false,true))"),FALSE)</f>
        <v>0</v>
      </c>
      <c r="U165" s="53" t="b">
        <f ca="1">IFERROR(__xludf.DUMMYFUNCTION("if($G165="""",false, if(isna(match(U$2, split($G165:$G383,"", "",False),0)),false,true))"),FALSE)</f>
        <v>0</v>
      </c>
      <c r="V165" s="53" t="b">
        <f ca="1">IFERROR(__xludf.DUMMYFUNCTION("if($G165="""",false, if(isna(match(V$2, split($G165:$G383,"", "",False),0)),false,true))"),FALSE)</f>
        <v>0</v>
      </c>
      <c r="W165" s="57" t="b">
        <f ca="1">IFERROR(__xludf.DUMMYFUNCTION("if($G165="""",false, if(isna(match(W$2, split($G165:$G383,"", "",False),0)),false,true))"),FALSE)</f>
        <v>0</v>
      </c>
    </row>
    <row r="166" spans="1:23" ht="84">
      <c r="A166" s="47" t="s">
        <v>523</v>
      </c>
      <c r="B166" s="48" t="s">
        <v>64</v>
      </c>
      <c r="C166" s="49" t="s">
        <v>419</v>
      </c>
      <c r="D166" s="50" t="s">
        <v>513</v>
      </c>
      <c r="E166" s="49" t="s">
        <v>524</v>
      </c>
      <c r="F166" s="51" t="s">
        <v>525</v>
      </c>
      <c r="G166" s="59" t="s">
        <v>389</v>
      </c>
      <c r="H166" s="53" t="b">
        <f ca="1">IFERROR(__xludf.DUMMYFUNCTION("if($G166="""",false, if(isna(match(H$2, split($G166:$G383,"", "",False),0)),false,true))"),FALSE)</f>
        <v>0</v>
      </c>
      <c r="I166" s="53" t="b">
        <f ca="1">IFERROR(__xludf.DUMMYFUNCTION("if($G166="""",false, if(isna(match(I$2, split($G166:$G383,"", "",False),0)),false,true))"),FALSE)</f>
        <v>0</v>
      </c>
      <c r="J166" s="53" t="b">
        <f ca="1">IFERROR(__xludf.DUMMYFUNCTION("if($G166="""",false, if(isna(match(J$2, split($G166:$G383,"", "",False),0)),false,true))"),FALSE)</f>
        <v>0</v>
      </c>
      <c r="K166" s="53" t="b">
        <f ca="1">IFERROR(__xludf.DUMMYFUNCTION("if($G166="""",false, if(isna(match(K$2, split($G166:$G383,"", "",False),0)),false,true))"),FALSE)</f>
        <v>0</v>
      </c>
      <c r="L166" s="53" t="b">
        <f ca="1">IFERROR(__xludf.DUMMYFUNCTION("if($G166="""",false, if(isna(match(L$2, split($G166:$G383,"", "",False),0)),false,true))"),FALSE)</f>
        <v>0</v>
      </c>
      <c r="M166" s="53" t="b">
        <f ca="1">IFERROR(__xludf.DUMMYFUNCTION("if($G166="""",false, if(isna(match(M$2, split($G166:$G383,"", "",False),0)),false,true))"),FALSE)</f>
        <v>0</v>
      </c>
      <c r="N166" s="53" t="b">
        <f ca="1">IFERROR(__xludf.DUMMYFUNCTION("if($G166="""",false, if(isna(match(N$2, split($G166:$G383,"", "",False),0)),false,true))"),FALSE)</f>
        <v>0</v>
      </c>
      <c r="O166" s="53" t="b">
        <f ca="1">IFERROR(__xludf.DUMMYFUNCTION("if($G166="""",false, if(isna(match(O$2, split($G166:$G383,"", "",False),0)),false,true))"),FALSE)</f>
        <v>0</v>
      </c>
      <c r="P166" s="53" t="b">
        <f ca="1">IFERROR(__xludf.DUMMYFUNCTION("if($G166="""",false, if(isna(match(P$2, split($G166:$G383,"", "",False),0)),false,true))"),FALSE)</f>
        <v>0</v>
      </c>
      <c r="Q166" s="53" t="b">
        <f ca="1">IFERROR(__xludf.DUMMYFUNCTION("if($G166="""",false, if(isna(match(Q$2, split($G166:$G383,"", "",False),0)),false,true))"),FALSE)</f>
        <v>0</v>
      </c>
      <c r="R166" s="53" t="b">
        <f ca="1">IFERROR(__xludf.DUMMYFUNCTION("if($G166="""",false, if(isna(match(R$2, split($G166:$G383,"", "",False),0)),false,true))"),FALSE)</f>
        <v>0</v>
      </c>
      <c r="S166" s="53" t="b">
        <f ca="1">IFERROR(__xludf.DUMMYFUNCTION("if($G166="""",false, if(isna(match(S$2, split($G166:$G383,"", "",False),0)),false,true))"),FALSE)</f>
        <v>0</v>
      </c>
      <c r="T166" s="53" t="b">
        <f ca="1">IFERROR(__xludf.DUMMYFUNCTION("if($G166="""",false, if(isna(match(T$2, split($G166:$G383,"", "",False),0)),false,true))"),FALSE)</f>
        <v>0</v>
      </c>
      <c r="U166" s="53" t="b">
        <f ca="1">IFERROR(__xludf.DUMMYFUNCTION("if($G166="""",false, if(isna(match(U$2, split($G166:$G383,"", "",False),0)),false,true))"),FALSE)</f>
        <v>0</v>
      </c>
      <c r="V166" s="53" t="b">
        <f ca="1">IFERROR(__xludf.DUMMYFUNCTION("if($G166="""",false, if(isna(match(V$2, split($G166:$G383,"", "",False),0)),false,true))"),FALSE)</f>
        <v>0</v>
      </c>
      <c r="W166" s="57" t="b">
        <f ca="1">IFERROR(__xludf.DUMMYFUNCTION("if($G166="""",false, if(isna(match(W$2, split($G166:$G383,"", "",False),0)),false,true))"),FALSE)</f>
        <v>0</v>
      </c>
    </row>
    <row r="167" spans="1:23" ht="56">
      <c r="A167" s="47" t="s">
        <v>526</v>
      </c>
      <c r="B167" s="48" t="s">
        <v>64</v>
      </c>
      <c r="C167" s="49" t="s">
        <v>419</v>
      </c>
      <c r="D167" s="50" t="s">
        <v>513</v>
      </c>
      <c r="E167" s="49" t="s">
        <v>524</v>
      </c>
      <c r="F167" s="51" t="s">
        <v>527</v>
      </c>
      <c r="G167" s="59" t="s">
        <v>389</v>
      </c>
      <c r="H167" s="53" t="b">
        <f ca="1">IFERROR(__xludf.DUMMYFUNCTION("if($G167="""",false, if(isna(match(H$2, split($G167:$G383,"", "",False),0)),false,true))"),FALSE)</f>
        <v>0</v>
      </c>
      <c r="I167" s="53" t="b">
        <f ca="1">IFERROR(__xludf.DUMMYFUNCTION("if($G167="""",false, if(isna(match(I$2, split($G167:$G383,"", "",False),0)),false,true))"),FALSE)</f>
        <v>0</v>
      </c>
      <c r="J167" s="53" t="b">
        <f ca="1">IFERROR(__xludf.DUMMYFUNCTION("if($G167="""",false, if(isna(match(J$2, split($G167:$G383,"", "",False),0)),false,true))"),FALSE)</f>
        <v>0</v>
      </c>
      <c r="K167" s="53" t="b">
        <f ca="1">IFERROR(__xludf.DUMMYFUNCTION("if($G167="""",false, if(isna(match(K$2, split($G167:$G383,"", "",False),0)),false,true))"),FALSE)</f>
        <v>0</v>
      </c>
      <c r="L167" s="53" t="b">
        <f ca="1">IFERROR(__xludf.DUMMYFUNCTION("if($G167="""",false, if(isna(match(L$2, split($G167:$G383,"", "",False),0)),false,true))"),FALSE)</f>
        <v>0</v>
      </c>
      <c r="M167" s="53" t="b">
        <f ca="1">IFERROR(__xludf.DUMMYFUNCTION("if($G167="""",false, if(isna(match(M$2, split($G167:$G383,"", "",False),0)),false,true))"),FALSE)</f>
        <v>0</v>
      </c>
      <c r="N167" s="53" t="b">
        <f ca="1">IFERROR(__xludf.DUMMYFUNCTION("if($G167="""",false, if(isna(match(N$2, split($G167:$G383,"", "",False),0)),false,true))"),FALSE)</f>
        <v>0</v>
      </c>
      <c r="O167" s="53" t="b">
        <f ca="1">IFERROR(__xludf.DUMMYFUNCTION("if($G167="""",false, if(isna(match(O$2, split($G167:$G383,"", "",False),0)),false,true))"),FALSE)</f>
        <v>0</v>
      </c>
      <c r="P167" s="53" t="b">
        <f ca="1">IFERROR(__xludf.DUMMYFUNCTION("if($G167="""",false, if(isna(match(P$2, split($G167:$G383,"", "",False),0)),false,true))"),FALSE)</f>
        <v>0</v>
      </c>
      <c r="Q167" s="53" t="b">
        <f ca="1">IFERROR(__xludf.DUMMYFUNCTION("if($G167="""",false, if(isna(match(Q$2, split($G167:$G383,"", "",False),0)),false,true))"),FALSE)</f>
        <v>0</v>
      </c>
      <c r="R167" s="53" t="b">
        <f ca="1">IFERROR(__xludf.DUMMYFUNCTION("if($G167="""",false, if(isna(match(R$2, split($G167:$G383,"", "",False),0)),false,true))"),FALSE)</f>
        <v>0</v>
      </c>
      <c r="S167" s="53" t="b">
        <f ca="1">IFERROR(__xludf.DUMMYFUNCTION("if($G167="""",false, if(isna(match(S$2, split($G167:$G383,"", "",False),0)),false,true))"),FALSE)</f>
        <v>0</v>
      </c>
      <c r="T167" s="53" t="b">
        <f ca="1">IFERROR(__xludf.DUMMYFUNCTION("if($G167="""",false, if(isna(match(T$2, split($G167:$G383,"", "",False),0)),false,true))"),FALSE)</f>
        <v>0</v>
      </c>
      <c r="U167" s="53" t="b">
        <f ca="1">IFERROR(__xludf.DUMMYFUNCTION("if($G167="""",false, if(isna(match(U$2, split($G167:$G383,"", "",False),0)),false,true))"),FALSE)</f>
        <v>0</v>
      </c>
      <c r="V167" s="53" t="b">
        <f ca="1">IFERROR(__xludf.DUMMYFUNCTION("if($G167="""",false, if(isna(match(V$2, split($G167:$G383,"", "",False),0)),false,true))"),FALSE)</f>
        <v>0</v>
      </c>
      <c r="W167" s="57" t="b">
        <f ca="1">IFERROR(__xludf.DUMMYFUNCTION("if($G167="""",false, if(isna(match(W$2, split($G167:$G383,"", "",False),0)),false,true))"),FALSE)</f>
        <v>0</v>
      </c>
    </row>
    <row r="168" spans="1:23" ht="28">
      <c r="A168" s="47" t="s">
        <v>528</v>
      </c>
      <c r="B168" s="48" t="s">
        <v>64</v>
      </c>
      <c r="C168" s="49" t="s">
        <v>529</v>
      </c>
      <c r="D168" s="50" t="s">
        <v>530</v>
      </c>
      <c r="E168" s="49" t="s">
        <v>531</v>
      </c>
      <c r="F168" s="51" t="s">
        <v>532</v>
      </c>
      <c r="G168" s="59" t="s">
        <v>119</v>
      </c>
      <c r="H168" s="53" t="b">
        <f ca="1">IFERROR(__xludf.DUMMYFUNCTION("if($G168="""",false, if(isna(match(H$2, split($G168:$G383,"", "",False),0)),false,true))"),FALSE)</f>
        <v>0</v>
      </c>
      <c r="I168" s="53" t="b">
        <f ca="1">IFERROR(__xludf.DUMMYFUNCTION("if($G168="""",false, if(isna(match(I$2, split($G168:$G383,"", "",False),0)),false,true))"),FALSE)</f>
        <v>0</v>
      </c>
      <c r="J168" s="53" t="b">
        <f ca="1">IFERROR(__xludf.DUMMYFUNCTION("if($G168="""",false, if(isna(match(J$2, split($G168:$G383,"", "",False),0)),false,true))"),FALSE)</f>
        <v>0</v>
      </c>
      <c r="K168" s="53" t="b">
        <f ca="1">IFERROR(__xludf.DUMMYFUNCTION("if($G168="""",false, if(isna(match(K$2, split($G168:$G383,"", "",False),0)),false,true))"),FALSE)</f>
        <v>0</v>
      </c>
      <c r="L168" s="53" t="b">
        <f ca="1">IFERROR(__xludf.DUMMYFUNCTION("if($G168="""",false, if(isna(match(L$2, split($G168:$G383,"", "",False),0)),false,true))"),FALSE)</f>
        <v>0</v>
      </c>
      <c r="M168" s="53" t="b">
        <f ca="1">IFERROR(__xludf.DUMMYFUNCTION("if($G168="""",false, if(isna(match(M$2, split($G168:$G383,"", "",False),0)),false,true))"),FALSE)</f>
        <v>0</v>
      </c>
      <c r="N168" s="53" t="b">
        <f ca="1">IFERROR(__xludf.DUMMYFUNCTION("if($G168="""",false, if(isna(match(N$2, split($G168:$G383,"", "",False),0)),false,true))"),FALSE)</f>
        <v>0</v>
      </c>
      <c r="O168" s="53" t="b">
        <f ca="1">IFERROR(__xludf.DUMMYFUNCTION("if($G168="""",false, if(isna(match(O$2, split($G168:$G383,"", "",False),0)),false,true))"),FALSE)</f>
        <v>0</v>
      </c>
      <c r="P168" s="53" t="b">
        <f ca="1">IFERROR(__xludf.DUMMYFUNCTION("if($G168="""",false, if(isna(match(P$2, split($G168:$G383,"", "",False),0)),false,true))"),FALSE)</f>
        <v>0</v>
      </c>
      <c r="Q168" s="53" t="b">
        <f ca="1">IFERROR(__xludf.DUMMYFUNCTION("if($G168="""",false, if(isna(match(Q$2, split($G168:$G383,"", "",False),0)),false,true))"),FALSE)</f>
        <v>0</v>
      </c>
      <c r="R168" s="53" t="b">
        <f ca="1">IFERROR(__xludf.DUMMYFUNCTION("if($G168="""",false, if(isna(match(R$2, split($G168:$G383,"", "",False),0)),false,true))"),FALSE)</f>
        <v>0</v>
      </c>
      <c r="S168" s="53" t="b">
        <f ca="1">IFERROR(__xludf.DUMMYFUNCTION("if($G168="""",false, if(isna(match(S$2, split($G168:$G383,"", "",False),0)),false,true))"),TRUE)</f>
        <v>1</v>
      </c>
      <c r="T168" s="53" t="b">
        <f ca="1">IFERROR(__xludf.DUMMYFUNCTION("if($G168="""",false, if(isna(match(T$2, split($G168:$G383,"", "",False),0)),false,true))"),FALSE)</f>
        <v>0</v>
      </c>
      <c r="U168" s="53" t="b">
        <f ca="1">IFERROR(__xludf.DUMMYFUNCTION("if($G168="""",false, if(isna(match(U$2, split($G168:$G383,"", "",False),0)),false,true))"),FALSE)</f>
        <v>0</v>
      </c>
      <c r="V168" s="53" t="b">
        <f ca="1">IFERROR(__xludf.DUMMYFUNCTION("if($G168="""",false, if(isna(match(V$2, split($G168:$G383,"", "",False),0)),false,true))"),FALSE)</f>
        <v>0</v>
      </c>
      <c r="W168" s="57" t="b">
        <f ca="1">IFERROR(__xludf.DUMMYFUNCTION("if($G168="""",false, if(isna(match(W$2, split($G168:$G383,"", "",False),0)),false,true))"),FALSE)</f>
        <v>0</v>
      </c>
    </row>
    <row r="169" spans="1:23" ht="42">
      <c r="A169" s="47" t="s">
        <v>533</v>
      </c>
      <c r="B169" s="48" t="s">
        <v>64</v>
      </c>
      <c r="C169" s="49" t="s">
        <v>529</v>
      </c>
      <c r="D169" s="50" t="s">
        <v>530</v>
      </c>
      <c r="E169" s="49" t="s">
        <v>531</v>
      </c>
      <c r="F169" s="51" t="s">
        <v>534</v>
      </c>
      <c r="G169" s="59" t="s">
        <v>535</v>
      </c>
      <c r="H169" s="53" t="b">
        <f ca="1">IFERROR(__xludf.DUMMYFUNCTION("if($G169="""",false, if(isna(match(H$2, split($G169:$G383,"", "",False),0)),false,true))"),FALSE)</f>
        <v>0</v>
      </c>
      <c r="I169" s="53" t="b">
        <f ca="1">IFERROR(__xludf.DUMMYFUNCTION("if($G169="""",false, if(isna(match(I$2, split($G169:$G383,"", "",False),0)),false,true))"),FALSE)</f>
        <v>0</v>
      </c>
      <c r="J169" s="53" t="b">
        <f ca="1">IFERROR(__xludf.DUMMYFUNCTION("if($G169="""",false, if(isna(match(J$2, split($G169:$G383,"", "",False),0)),false,true))"),FALSE)</f>
        <v>0</v>
      </c>
      <c r="K169" s="53" t="b">
        <f ca="1">IFERROR(__xludf.DUMMYFUNCTION("if($G169="""",false, if(isna(match(K$2, split($G169:$G383,"", "",False),0)),false,true))"),FALSE)</f>
        <v>0</v>
      </c>
      <c r="L169" s="53" t="b">
        <f ca="1">IFERROR(__xludf.DUMMYFUNCTION("if($G169="""",false, if(isna(match(L$2, split($G169:$G383,"", "",False),0)),false,true))"),FALSE)</f>
        <v>0</v>
      </c>
      <c r="M169" s="53" t="b">
        <f ca="1">IFERROR(__xludf.DUMMYFUNCTION("if($G169="""",false, if(isna(match(M$2, split($G169:$G383,"", "",False),0)),false,true))"),FALSE)</f>
        <v>0</v>
      </c>
      <c r="N169" s="53" t="b">
        <f ca="1">IFERROR(__xludf.DUMMYFUNCTION("if($G169="""",false, if(isna(match(N$2, split($G169:$G383,"", "",False),0)),false,true))"),FALSE)</f>
        <v>0</v>
      </c>
      <c r="O169" s="53" t="b">
        <f ca="1">IFERROR(__xludf.DUMMYFUNCTION("if($G169="""",false, if(isna(match(O$2, split($G169:$G383,"", "",False),0)),false,true))"),FALSE)</f>
        <v>0</v>
      </c>
      <c r="P169" s="53" t="b">
        <f ca="1">IFERROR(__xludf.DUMMYFUNCTION("if($G169="""",false, if(isna(match(P$2, split($G169:$G383,"", "",False),0)),false,true))"),FALSE)</f>
        <v>0</v>
      </c>
      <c r="Q169" s="53" t="b">
        <f ca="1">IFERROR(__xludf.DUMMYFUNCTION("if($G169="""",false, if(isna(match(Q$2, split($G169:$G383,"", "",False),0)),false,true))"),FALSE)</f>
        <v>0</v>
      </c>
      <c r="R169" s="53" t="b">
        <f ca="1">IFERROR(__xludf.DUMMYFUNCTION("if($G169="""",false, if(isna(match(R$2, split($G169:$G383,"", "",False),0)),false,true))"),FALSE)</f>
        <v>0</v>
      </c>
      <c r="S169" s="53" t="b">
        <f ca="1">IFERROR(__xludf.DUMMYFUNCTION("if($G169="""",false, if(isna(match(S$2, split($G169:$G383,"", "",False),0)),false,true))"),TRUE)</f>
        <v>1</v>
      </c>
      <c r="T169" s="53" t="b">
        <f ca="1">IFERROR(__xludf.DUMMYFUNCTION("if($G169="""",false, if(isna(match(T$2, split($G169:$G383,"", "",False),0)),false,true))"),FALSE)</f>
        <v>0</v>
      </c>
      <c r="U169" s="53" t="b">
        <f ca="1">IFERROR(__xludf.DUMMYFUNCTION("if($G169="""",false, if(isna(match(U$2, split($G169:$G383,"", "",False),0)),false,true))"),FALSE)</f>
        <v>0</v>
      </c>
      <c r="V169" s="53" t="b">
        <f ca="1">IFERROR(__xludf.DUMMYFUNCTION("if($G169="""",false, if(isna(match(V$2, split($G169:$G383,"", "",False),0)),false,true))"),FALSE)</f>
        <v>0</v>
      </c>
      <c r="W169" s="57" t="b">
        <f ca="1">IFERROR(__xludf.DUMMYFUNCTION("if($G169="""",false, if(isna(match(W$2, split($G169:$G383,"", "",False),0)),false,true))"),FALSE)</f>
        <v>0</v>
      </c>
    </row>
    <row r="170" spans="1:23" ht="42">
      <c r="A170" s="47" t="s">
        <v>536</v>
      </c>
      <c r="B170" s="48" t="s">
        <v>64</v>
      </c>
      <c r="C170" s="49" t="s">
        <v>529</v>
      </c>
      <c r="D170" s="50" t="s">
        <v>530</v>
      </c>
      <c r="E170" s="49" t="s">
        <v>531</v>
      </c>
      <c r="F170" s="51" t="s">
        <v>537</v>
      </c>
      <c r="G170" s="59" t="s">
        <v>538</v>
      </c>
      <c r="H170" s="53" t="b">
        <f ca="1">IFERROR(__xludf.DUMMYFUNCTION("if($G170="""",false, if(isna(match(H$2, split($G170:$G383,"", "",False),0)),false,true))"),FALSE)</f>
        <v>0</v>
      </c>
      <c r="I170" s="53" t="b">
        <f ca="1">IFERROR(__xludf.DUMMYFUNCTION("if($G170="""",false, if(isna(match(I$2, split($G170:$G383,"", "",False),0)),false,true))"),FALSE)</f>
        <v>0</v>
      </c>
      <c r="J170" s="53" t="b">
        <f ca="1">IFERROR(__xludf.DUMMYFUNCTION("if($G170="""",false, if(isna(match(J$2, split($G170:$G383,"", "",False),0)),false,true))"),FALSE)</f>
        <v>0</v>
      </c>
      <c r="K170" s="53" t="b">
        <f ca="1">IFERROR(__xludf.DUMMYFUNCTION("if($G170="""",false, if(isna(match(K$2, split($G170:$G383,"", "",False),0)),false,true))"),FALSE)</f>
        <v>0</v>
      </c>
      <c r="L170" s="53" t="b">
        <f ca="1">IFERROR(__xludf.DUMMYFUNCTION("if($G170="""",false, if(isna(match(L$2, split($G170:$G383,"", "",False),0)),false,true))"),FALSE)</f>
        <v>0</v>
      </c>
      <c r="M170" s="53" t="b">
        <f ca="1">IFERROR(__xludf.DUMMYFUNCTION("if($G170="""",false, if(isna(match(M$2, split($G170:$G383,"", "",False),0)),false,true))"),FALSE)</f>
        <v>0</v>
      </c>
      <c r="N170" s="53" t="b">
        <f ca="1">IFERROR(__xludf.DUMMYFUNCTION("if($G170="""",false, if(isna(match(N$2, split($G170:$G383,"", "",False),0)),false,true))"),FALSE)</f>
        <v>0</v>
      </c>
      <c r="O170" s="53" t="b">
        <f ca="1">IFERROR(__xludf.DUMMYFUNCTION("if($G170="""",false, if(isna(match(O$2, split($G170:$G383,"", "",False),0)),false,true))"),FALSE)</f>
        <v>0</v>
      </c>
      <c r="P170" s="53" t="b">
        <f ca="1">IFERROR(__xludf.DUMMYFUNCTION("if($G170="""",false, if(isna(match(P$2, split($G170:$G383,"", "",False),0)),false,true))"),TRUE)</f>
        <v>1</v>
      </c>
      <c r="Q170" s="53" t="b">
        <f ca="1">IFERROR(__xludf.DUMMYFUNCTION("if($G170="""",false, if(isna(match(Q$2, split($G170:$G383,"", "",False),0)),false,true))"),TRUE)</f>
        <v>1</v>
      </c>
      <c r="R170" s="53" t="b">
        <f ca="1">IFERROR(__xludf.DUMMYFUNCTION("if($G170="""",false, if(isna(match(R$2, split($G170:$G383,"", "",False),0)),false,true))"),TRUE)</f>
        <v>1</v>
      </c>
      <c r="S170" s="53" t="b">
        <f ca="1">IFERROR(__xludf.DUMMYFUNCTION("if($G170="""",false, if(isna(match(S$2, split($G170:$G383,"", "",False),0)),false,true))"),FALSE)</f>
        <v>0</v>
      </c>
      <c r="T170" s="53" t="b">
        <f ca="1">IFERROR(__xludf.DUMMYFUNCTION("if($G170="""",false, if(isna(match(T$2, split($G170:$G383,"", "",False),0)),false,true))"),FALSE)</f>
        <v>0</v>
      </c>
      <c r="U170" s="53" t="b">
        <f ca="1">IFERROR(__xludf.DUMMYFUNCTION("if($G170="""",false, if(isna(match(U$2, split($G170:$G383,"", "",False),0)),false,true))"),FALSE)</f>
        <v>0</v>
      </c>
      <c r="V170" s="53" t="b">
        <f ca="1">IFERROR(__xludf.DUMMYFUNCTION("if($G170="""",false, if(isna(match(V$2, split($G170:$G383,"", "",False),0)),false,true))"),FALSE)</f>
        <v>0</v>
      </c>
      <c r="W170" s="57" t="b">
        <f ca="1">IFERROR(__xludf.DUMMYFUNCTION("if($G170="""",false, if(isna(match(W$2, split($G170:$G383,"", "",False),0)),false,true))"),FALSE)</f>
        <v>0</v>
      </c>
    </row>
    <row r="171" spans="1:23" ht="56">
      <c r="A171" s="47" t="s">
        <v>539</v>
      </c>
      <c r="B171" s="48" t="s">
        <v>64</v>
      </c>
      <c r="C171" s="49" t="s">
        <v>529</v>
      </c>
      <c r="D171" s="50" t="s">
        <v>530</v>
      </c>
      <c r="E171" s="49" t="s">
        <v>531</v>
      </c>
      <c r="F171" s="51" t="s">
        <v>540</v>
      </c>
      <c r="G171" s="59" t="s">
        <v>116</v>
      </c>
      <c r="H171" s="53" t="b">
        <f ca="1">IFERROR(__xludf.DUMMYFUNCTION("if($G171="""",false, if(isna(match(H$2, split($G171:$G383,"", "",False),0)),false,true))"),FALSE)</f>
        <v>0</v>
      </c>
      <c r="I171" s="53" t="b">
        <f ca="1">IFERROR(__xludf.DUMMYFUNCTION("if($G171="""",false, if(isna(match(I$2, split($G171:$G383,"", "",False),0)),false,true))"),FALSE)</f>
        <v>0</v>
      </c>
      <c r="J171" s="53" t="b">
        <f ca="1">IFERROR(__xludf.DUMMYFUNCTION("if($G171="""",false, if(isna(match(J$2, split($G171:$G383,"", "",False),0)),false,true))"),FALSE)</f>
        <v>0</v>
      </c>
      <c r="K171" s="53" t="b">
        <f ca="1">IFERROR(__xludf.DUMMYFUNCTION("if($G171="""",false, if(isna(match(K$2, split($G171:$G383,"", "",False),0)),false,true))"),FALSE)</f>
        <v>0</v>
      </c>
      <c r="L171" s="53" t="b">
        <f ca="1">IFERROR(__xludf.DUMMYFUNCTION("if($G171="""",false, if(isna(match(L$2, split($G171:$G383,"", "",False),0)),false,true))"),FALSE)</f>
        <v>0</v>
      </c>
      <c r="M171" s="53" t="b">
        <f ca="1">IFERROR(__xludf.DUMMYFUNCTION("if($G171="""",false, if(isna(match(M$2, split($G171:$G383,"", "",False),0)),false,true))"),FALSE)</f>
        <v>0</v>
      </c>
      <c r="N171" s="53" t="b">
        <f ca="1">IFERROR(__xludf.DUMMYFUNCTION("if($G171="""",false, if(isna(match(N$2, split($G171:$G383,"", "",False),0)),false,true))"),FALSE)</f>
        <v>0</v>
      </c>
      <c r="O171" s="53" t="b">
        <f ca="1">IFERROR(__xludf.DUMMYFUNCTION("if($G171="""",false, if(isna(match(O$2, split($G171:$G383,"", "",False),0)),false,true))"),FALSE)</f>
        <v>0</v>
      </c>
      <c r="P171" s="53" t="b">
        <f ca="1">IFERROR(__xludf.DUMMYFUNCTION("if($G171="""",false, if(isna(match(P$2, split($G171:$G383,"", "",False),0)),false,true))"),TRUE)</f>
        <v>1</v>
      </c>
      <c r="Q171" s="53" t="b">
        <f ca="1">IFERROR(__xludf.DUMMYFUNCTION("if($G171="""",false, if(isna(match(Q$2, split($G171:$G383,"", "",False),0)),false,true))"),FALSE)</f>
        <v>0</v>
      </c>
      <c r="R171" s="53" t="b">
        <f ca="1">IFERROR(__xludf.DUMMYFUNCTION("if($G171="""",false, if(isna(match(R$2, split($G171:$G383,"", "",False),0)),false,true))"),FALSE)</f>
        <v>0</v>
      </c>
      <c r="S171" s="53" t="b">
        <f ca="1">IFERROR(__xludf.DUMMYFUNCTION("if($G171="""",false, if(isna(match(S$2, split($G171:$G383,"", "",False),0)),false,true))"),FALSE)</f>
        <v>0</v>
      </c>
      <c r="T171" s="53" t="b">
        <f ca="1">IFERROR(__xludf.DUMMYFUNCTION("if($G171="""",false, if(isna(match(T$2, split($G171:$G383,"", "",False),0)),false,true))"),FALSE)</f>
        <v>0</v>
      </c>
      <c r="U171" s="53" t="b">
        <f ca="1">IFERROR(__xludf.DUMMYFUNCTION("if($G171="""",false, if(isna(match(U$2, split($G171:$G383,"", "",False),0)),false,true))"),FALSE)</f>
        <v>0</v>
      </c>
      <c r="V171" s="53" t="b">
        <f ca="1">IFERROR(__xludf.DUMMYFUNCTION("if($G171="""",false, if(isna(match(V$2, split($G171:$G383,"", "",False),0)),false,true))"),FALSE)</f>
        <v>0</v>
      </c>
      <c r="W171" s="57" t="b">
        <f ca="1">IFERROR(__xludf.DUMMYFUNCTION("if($G171="""",false, if(isna(match(W$2, split($G171:$G383,"", "",False),0)),false,true))"),FALSE)</f>
        <v>0</v>
      </c>
    </row>
    <row r="172" spans="1:23" ht="28">
      <c r="A172" s="47" t="s">
        <v>541</v>
      </c>
      <c r="B172" s="48" t="s">
        <v>64</v>
      </c>
      <c r="C172" s="49" t="s">
        <v>529</v>
      </c>
      <c r="D172" s="50" t="s">
        <v>530</v>
      </c>
      <c r="E172" s="49" t="s">
        <v>531</v>
      </c>
      <c r="F172" s="51" t="s">
        <v>542</v>
      </c>
      <c r="G172" s="59" t="s">
        <v>116</v>
      </c>
      <c r="H172" s="53" t="b">
        <f ca="1">IFERROR(__xludf.DUMMYFUNCTION("if($G172="""",false, if(isna(match(H$2, split($G172:$G383,"", "",False),0)),false,true))"),FALSE)</f>
        <v>0</v>
      </c>
      <c r="I172" s="53" t="b">
        <f ca="1">IFERROR(__xludf.DUMMYFUNCTION("if($G172="""",false, if(isna(match(I$2, split($G172:$G383,"", "",False),0)),false,true))"),FALSE)</f>
        <v>0</v>
      </c>
      <c r="J172" s="53" t="b">
        <f ca="1">IFERROR(__xludf.DUMMYFUNCTION("if($G172="""",false, if(isna(match(J$2, split($G172:$G383,"", "",False),0)),false,true))"),FALSE)</f>
        <v>0</v>
      </c>
      <c r="K172" s="53" t="b">
        <f ca="1">IFERROR(__xludf.DUMMYFUNCTION("if($G172="""",false, if(isna(match(K$2, split($G172:$G383,"", "",False),0)),false,true))"),FALSE)</f>
        <v>0</v>
      </c>
      <c r="L172" s="53" t="b">
        <f ca="1">IFERROR(__xludf.DUMMYFUNCTION("if($G172="""",false, if(isna(match(L$2, split($G172:$G383,"", "",False),0)),false,true))"),FALSE)</f>
        <v>0</v>
      </c>
      <c r="M172" s="53" t="b">
        <f ca="1">IFERROR(__xludf.DUMMYFUNCTION("if($G172="""",false, if(isna(match(M$2, split($G172:$G383,"", "",False),0)),false,true))"),FALSE)</f>
        <v>0</v>
      </c>
      <c r="N172" s="53" t="b">
        <f ca="1">IFERROR(__xludf.DUMMYFUNCTION("if($G172="""",false, if(isna(match(N$2, split($G172:$G383,"", "",False),0)),false,true))"),FALSE)</f>
        <v>0</v>
      </c>
      <c r="O172" s="53" t="b">
        <f ca="1">IFERROR(__xludf.DUMMYFUNCTION("if($G172="""",false, if(isna(match(O$2, split($G172:$G383,"", "",False),0)),false,true))"),FALSE)</f>
        <v>0</v>
      </c>
      <c r="P172" s="53" t="b">
        <f ca="1">IFERROR(__xludf.DUMMYFUNCTION("if($G172="""",false, if(isna(match(P$2, split($G172:$G383,"", "",False),0)),false,true))"),TRUE)</f>
        <v>1</v>
      </c>
      <c r="Q172" s="53" t="b">
        <f ca="1">IFERROR(__xludf.DUMMYFUNCTION("if($G172="""",false, if(isna(match(Q$2, split($G172:$G383,"", "",False),0)),false,true))"),FALSE)</f>
        <v>0</v>
      </c>
      <c r="R172" s="53" t="b">
        <f ca="1">IFERROR(__xludf.DUMMYFUNCTION("if($G172="""",false, if(isna(match(R$2, split($G172:$G383,"", "",False),0)),false,true))"),FALSE)</f>
        <v>0</v>
      </c>
      <c r="S172" s="53" t="b">
        <f ca="1">IFERROR(__xludf.DUMMYFUNCTION("if($G172="""",false, if(isna(match(S$2, split($G172:$G383,"", "",False),0)),false,true))"),FALSE)</f>
        <v>0</v>
      </c>
      <c r="T172" s="53" t="b">
        <f ca="1">IFERROR(__xludf.DUMMYFUNCTION("if($G172="""",false, if(isna(match(T$2, split($G172:$G383,"", "",False),0)),false,true))"),FALSE)</f>
        <v>0</v>
      </c>
      <c r="U172" s="53" t="b">
        <f ca="1">IFERROR(__xludf.DUMMYFUNCTION("if($G172="""",false, if(isna(match(U$2, split($G172:$G383,"", "",False),0)),false,true))"),FALSE)</f>
        <v>0</v>
      </c>
      <c r="V172" s="53" t="b">
        <f ca="1">IFERROR(__xludf.DUMMYFUNCTION("if($G172="""",false, if(isna(match(V$2, split($G172:$G383,"", "",False),0)),false,true))"),FALSE)</f>
        <v>0</v>
      </c>
      <c r="W172" s="57" t="b">
        <f ca="1">IFERROR(__xludf.DUMMYFUNCTION("if($G172="""",false, if(isna(match(W$2, split($G172:$G383,"", "",False),0)),false,true))"),FALSE)</f>
        <v>0</v>
      </c>
    </row>
    <row r="173" spans="1:23" ht="56">
      <c r="A173" s="47" t="s">
        <v>543</v>
      </c>
      <c r="B173" s="48" t="s">
        <v>64</v>
      </c>
      <c r="C173" s="49" t="s">
        <v>529</v>
      </c>
      <c r="D173" s="50" t="s">
        <v>530</v>
      </c>
      <c r="E173" s="49" t="s">
        <v>531</v>
      </c>
      <c r="F173" s="51" t="s">
        <v>544</v>
      </c>
      <c r="G173" s="59" t="s">
        <v>111</v>
      </c>
      <c r="H173" s="53" t="b">
        <f ca="1">IFERROR(__xludf.DUMMYFUNCTION("if($G173="""",false, if(isna(match(H$2, split($G173:$G383,"", "",False),0)),false,true))"),FALSE)</f>
        <v>0</v>
      </c>
      <c r="I173" s="53" t="b">
        <f ca="1">IFERROR(__xludf.DUMMYFUNCTION("if($G173="""",false, if(isna(match(I$2, split($G173:$G383,"", "",False),0)),false,true))"),FALSE)</f>
        <v>0</v>
      </c>
      <c r="J173" s="53" t="b">
        <f ca="1">IFERROR(__xludf.DUMMYFUNCTION("if($G173="""",false, if(isna(match(J$2, split($G173:$G383,"", "",False),0)),false,true))"),FALSE)</f>
        <v>0</v>
      </c>
      <c r="K173" s="53" t="b">
        <f ca="1">IFERROR(__xludf.DUMMYFUNCTION("if($G173="""",false, if(isna(match(K$2, split($G173:$G383,"", "",False),0)),false,true))"),TRUE)</f>
        <v>1</v>
      </c>
      <c r="L173" s="53" t="b">
        <f ca="1">IFERROR(__xludf.DUMMYFUNCTION("if($G173="""",false, if(isna(match(L$2, split($G173:$G383,"", "",False),0)),false,true))"),FALSE)</f>
        <v>0</v>
      </c>
      <c r="M173" s="53" t="b">
        <f ca="1">IFERROR(__xludf.DUMMYFUNCTION("if($G173="""",false, if(isna(match(M$2, split($G173:$G383,"", "",False),0)),false,true))"),FALSE)</f>
        <v>0</v>
      </c>
      <c r="N173" s="53" t="b">
        <f ca="1">IFERROR(__xludf.DUMMYFUNCTION("if($G173="""",false, if(isna(match(N$2, split($G173:$G383,"", "",False),0)),false,true))"),FALSE)</f>
        <v>0</v>
      </c>
      <c r="O173" s="53" t="b">
        <f ca="1">IFERROR(__xludf.DUMMYFUNCTION("if($G173="""",false, if(isna(match(O$2, split($G173:$G383,"", "",False),0)),false,true))"),FALSE)</f>
        <v>0</v>
      </c>
      <c r="P173" s="53" t="b">
        <f ca="1">IFERROR(__xludf.DUMMYFUNCTION("if($G173="""",false, if(isna(match(P$2, split($G173:$G383,"", "",False),0)),false,true))"),FALSE)</f>
        <v>0</v>
      </c>
      <c r="Q173" s="53" t="b">
        <f ca="1">IFERROR(__xludf.DUMMYFUNCTION("if($G173="""",false, if(isna(match(Q$2, split($G173:$G383,"", "",False),0)),false,true))"),FALSE)</f>
        <v>0</v>
      </c>
      <c r="R173" s="53" t="b">
        <f ca="1">IFERROR(__xludf.DUMMYFUNCTION("if($G173="""",false, if(isna(match(R$2, split($G173:$G383,"", "",False),0)),false,true))"),FALSE)</f>
        <v>0</v>
      </c>
      <c r="S173" s="53" t="b">
        <f ca="1">IFERROR(__xludf.DUMMYFUNCTION("if($G173="""",false, if(isna(match(S$2, split($G173:$G383,"", "",False),0)),false,true))"),FALSE)</f>
        <v>0</v>
      </c>
      <c r="T173" s="53" t="b">
        <f ca="1">IFERROR(__xludf.DUMMYFUNCTION("if($G173="""",false, if(isna(match(T$2, split($G173:$G383,"", "",False),0)),false,true))"),FALSE)</f>
        <v>0</v>
      </c>
      <c r="U173" s="53" t="b">
        <f ca="1">IFERROR(__xludf.DUMMYFUNCTION("if($G173="""",false, if(isna(match(U$2, split($G173:$G383,"", "",False),0)),false,true))"),FALSE)</f>
        <v>0</v>
      </c>
      <c r="V173" s="53" t="b">
        <f ca="1">IFERROR(__xludf.DUMMYFUNCTION("if($G173="""",false, if(isna(match(V$2, split($G173:$G383,"", "",False),0)),false,true))"),FALSE)</f>
        <v>0</v>
      </c>
      <c r="W173" s="57" t="b">
        <f ca="1">IFERROR(__xludf.DUMMYFUNCTION("if($G173="""",false, if(isna(match(W$2, split($G173:$G383,"", "",False),0)),false,true))"),FALSE)</f>
        <v>0</v>
      </c>
    </row>
    <row r="174" spans="1:23" ht="98">
      <c r="A174" s="47" t="s">
        <v>545</v>
      </c>
      <c r="B174" s="47" t="s">
        <v>64</v>
      </c>
      <c r="C174" s="49" t="s">
        <v>529</v>
      </c>
      <c r="D174" s="52" t="s">
        <v>530</v>
      </c>
      <c r="E174" s="49" t="s">
        <v>546</v>
      </c>
      <c r="F174" s="52" t="s">
        <v>547</v>
      </c>
      <c r="G174" s="59" t="s">
        <v>206</v>
      </c>
      <c r="H174" s="53" t="b">
        <f ca="1">IFERROR(__xludf.DUMMYFUNCTION("if($G174="""",false, if(isna(match(H$2, split($G174:$G383,"", "",False),0)),false,true))"),FALSE)</f>
        <v>0</v>
      </c>
      <c r="I174" s="53" t="b">
        <f ca="1">IFERROR(__xludf.DUMMYFUNCTION("if($G174="""",false, if(isna(match(I$2, split($G174:$G383,"", "",False),0)),false,true))"),FALSE)</f>
        <v>0</v>
      </c>
      <c r="J174" s="53" t="b">
        <f ca="1">IFERROR(__xludf.DUMMYFUNCTION("if($G174="""",false, if(isna(match(J$2, split($G174:$G383,"", "",False),0)),false,true))"),FALSE)</f>
        <v>0</v>
      </c>
      <c r="K174" s="53" t="b">
        <f ca="1">IFERROR(__xludf.DUMMYFUNCTION("if($G174="""",false, if(isna(match(K$2, split($G174:$G383,"", "",False),0)),false,true))"),FALSE)</f>
        <v>0</v>
      </c>
      <c r="L174" s="53" t="b">
        <f ca="1">IFERROR(__xludf.DUMMYFUNCTION("if($G174="""",false, if(isna(match(L$2, split($G174:$G383,"", "",False),0)),false,true))"),FALSE)</f>
        <v>0</v>
      </c>
      <c r="M174" s="53" t="b">
        <f ca="1">IFERROR(__xludf.DUMMYFUNCTION("if($G174="""",false, if(isna(match(M$2, split($G174:$G383,"", "",False),0)),false,true))"),FALSE)</f>
        <v>0</v>
      </c>
      <c r="N174" s="53" t="b">
        <f ca="1">IFERROR(__xludf.DUMMYFUNCTION("if($G174="""",false, if(isna(match(N$2, split($G174:$G383,"", "",False),0)),false,true))"),FALSE)</f>
        <v>0</v>
      </c>
      <c r="O174" s="53" t="b">
        <f ca="1">IFERROR(__xludf.DUMMYFUNCTION("if($G174="""",false, if(isna(match(O$2, split($G174:$G383,"", "",False),0)),false,true))"),FALSE)</f>
        <v>0</v>
      </c>
      <c r="P174" s="53" t="b">
        <f ca="1">IFERROR(__xludf.DUMMYFUNCTION("if($G174="""",false, if(isna(match(P$2, split($G174:$G383,"", "",False),0)),false,true))"),TRUE)</f>
        <v>1</v>
      </c>
      <c r="Q174" s="53" t="b">
        <f ca="1">IFERROR(__xludf.DUMMYFUNCTION("if($G174="""",false, if(isna(match(Q$2, split($G174:$G383,"", "",False),0)),false,true))"),TRUE)</f>
        <v>1</v>
      </c>
      <c r="R174" s="53" t="b">
        <f ca="1">IFERROR(__xludf.DUMMYFUNCTION("if($G174="""",false, if(isna(match(R$2, split($G174:$G383,"", "",False),0)),false,true))"),TRUE)</f>
        <v>1</v>
      </c>
      <c r="S174" s="53" t="b">
        <f ca="1">IFERROR(__xludf.DUMMYFUNCTION("if($G174="""",false, if(isna(match(S$2, split($G174:$G383,"", "",False),0)),false,true))"),TRUE)</f>
        <v>1</v>
      </c>
      <c r="T174" s="53" t="b">
        <f ca="1">IFERROR(__xludf.DUMMYFUNCTION("if($G174="""",false, if(isna(match(T$2, split($G174:$G383,"", "",False),0)),false,true))"),FALSE)</f>
        <v>0</v>
      </c>
      <c r="U174" s="53" t="b">
        <f ca="1">IFERROR(__xludf.DUMMYFUNCTION("if($G174="""",false, if(isna(match(U$2, split($G174:$G383,"", "",False),0)),false,true))"),FALSE)</f>
        <v>0</v>
      </c>
      <c r="V174" s="53" t="b">
        <f ca="1">IFERROR(__xludf.DUMMYFUNCTION("if($G174="""",false, if(isna(match(V$2, split($G174:$G383,"", "",False),0)),false,true))"),FALSE)</f>
        <v>0</v>
      </c>
      <c r="W174" s="57" t="b">
        <f ca="1">IFERROR(__xludf.DUMMYFUNCTION("if($G174="""",false, if(isna(match(W$2, split($G174:$G383,"", "",False),0)),false,true))"),FALSE)</f>
        <v>0</v>
      </c>
    </row>
    <row r="175" spans="1:23" ht="84">
      <c r="A175" s="47" t="s">
        <v>548</v>
      </c>
      <c r="B175" s="47" t="s">
        <v>64</v>
      </c>
      <c r="C175" s="49" t="s">
        <v>529</v>
      </c>
      <c r="D175" s="52" t="s">
        <v>530</v>
      </c>
      <c r="E175" s="49" t="s">
        <v>546</v>
      </c>
      <c r="F175" s="52" t="s">
        <v>549</v>
      </c>
      <c r="G175" s="59" t="s">
        <v>550</v>
      </c>
      <c r="H175" s="53" t="b">
        <f ca="1">IFERROR(__xludf.DUMMYFUNCTION("if($G175="""",false, if(isna(match(H$2, split($G175:$G383,"", "",False),0)),false,true))"),FALSE)</f>
        <v>0</v>
      </c>
      <c r="I175" s="53" t="b">
        <f ca="1">IFERROR(__xludf.DUMMYFUNCTION("if($G175="""",false, if(isna(match(I$2, split($G175:$G383,"", "",False),0)),false,true))"),FALSE)</f>
        <v>0</v>
      </c>
      <c r="J175" s="53" t="b">
        <f ca="1">IFERROR(__xludf.DUMMYFUNCTION("if($G175="""",false, if(isna(match(J$2, split($G175:$G383,"", "",False),0)),false,true))"),FALSE)</f>
        <v>0</v>
      </c>
      <c r="K175" s="53" t="b">
        <f ca="1">IFERROR(__xludf.DUMMYFUNCTION("if($G175="""",false, if(isna(match(K$2, split($G175:$G383,"", "",False),0)),false,true))"),FALSE)</f>
        <v>0</v>
      </c>
      <c r="L175" s="53" t="b">
        <f ca="1">IFERROR(__xludf.DUMMYFUNCTION("if($G175="""",false, if(isna(match(L$2, split($G175:$G383,"", "",False),0)),false,true))"),FALSE)</f>
        <v>0</v>
      </c>
      <c r="M175" s="53" t="b">
        <f ca="1">IFERROR(__xludf.DUMMYFUNCTION("if($G175="""",false, if(isna(match(M$2, split($G175:$G383,"", "",False),0)),false,true))"),FALSE)</f>
        <v>0</v>
      </c>
      <c r="N175" s="53" t="b">
        <f ca="1">IFERROR(__xludf.DUMMYFUNCTION("if($G175="""",false, if(isna(match(N$2, split($G175:$G383,"", "",False),0)),false,true))"),FALSE)</f>
        <v>0</v>
      </c>
      <c r="O175" s="53" t="b">
        <f ca="1">IFERROR(__xludf.DUMMYFUNCTION("if($G175="""",false, if(isna(match(O$2, split($G175:$G383,"", "",False),0)),false,true))"),FALSE)</f>
        <v>0</v>
      </c>
      <c r="P175" s="53" t="b">
        <f ca="1">IFERROR(__xludf.DUMMYFUNCTION("if($G175="""",false, if(isna(match(P$2, split($G175:$G383,"", "",False),0)),false,true))"),FALSE)</f>
        <v>0</v>
      </c>
      <c r="Q175" s="53" t="b">
        <f ca="1">IFERROR(__xludf.DUMMYFUNCTION("if($G175="""",false, if(isna(match(Q$2, split($G175:$G383,"", "",False),0)),false,true))"),TRUE)</f>
        <v>1</v>
      </c>
      <c r="R175" s="53" t="b">
        <f ca="1">IFERROR(__xludf.DUMMYFUNCTION("if($G175="""",false, if(isna(match(R$2, split($G175:$G383,"", "",False),0)),false,true))"),TRUE)</f>
        <v>1</v>
      </c>
      <c r="S175" s="53" t="b">
        <f ca="1">IFERROR(__xludf.DUMMYFUNCTION("if($G175="""",false, if(isna(match(S$2, split($G175:$G383,"", "",False),0)),false,true))"),TRUE)</f>
        <v>1</v>
      </c>
      <c r="T175" s="53" t="b">
        <f ca="1">IFERROR(__xludf.DUMMYFUNCTION("if($G175="""",false, if(isna(match(T$2, split($G175:$G383,"", "",False),0)),false,true))"),FALSE)</f>
        <v>0</v>
      </c>
      <c r="U175" s="53" t="b">
        <f ca="1">IFERROR(__xludf.DUMMYFUNCTION("if($G175="""",false, if(isna(match(U$2, split($G175:$G383,"", "",False),0)),false,true))"),FALSE)</f>
        <v>0</v>
      </c>
      <c r="V175" s="53" t="b">
        <f ca="1">IFERROR(__xludf.DUMMYFUNCTION("if($G175="""",false, if(isna(match(V$2, split($G175:$G383,"", "",False),0)),false,true))"),FALSE)</f>
        <v>0</v>
      </c>
      <c r="W175" s="57" t="b">
        <f ca="1">IFERROR(__xludf.DUMMYFUNCTION("if($G175="""",false, if(isna(match(W$2, split($G175:$G383,"", "",False),0)),false,true))"),FALSE)</f>
        <v>0</v>
      </c>
    </row>
    <row r="176" spans="1:23" ht="70">
      <c r="A176" s="47" t="s">
        <v>551</v>
      </c>
      <c r="B176" s="47" t="s">
        <v>64</v>
      </c>
      <c r="C176" s="49" t="s">
        <v>529</v>
      </c>
      <c r="D176" s="52" t="s">
        <v>530</v>
      </c>
      <c r="E176" s="49" t="s">
        <v>552</v>
      </c>
      <c r="F176" s="52" t="s">
        <v>553</v>
      </c>
      <c r="G176" s="59" t="s">
        <v>554</v>
      </c>
      <c r="H176" s="53" t="b">
        <f ca="1">IFERROR(__xludf.DUMMYFUNCTION("if($G176="""",false, if(isna(match(H$2, split($G176:$G383,"", "",False),0)),false,true))"),FALSE)</f>
        <v>0</v>
      </c>
      <c r="I176" s="53" t="b">
        <f ca="1">IFERROR(__xludf.DUMMYFUNCTION("if($G176="""",false, if(isna(match(I$2, split($G176:$G383,"", "",False),0)),false,true))"),FALSE)</f>
        <v>0</v>
      </c>
      <c r="J176" s="53" t="b">
        <f ca="1">IFERROR(__xludf.DUMMYFUNCTION("if($G176="""",false, if(isna(match(J$2, split($G176:$G383,"", "",False),0)),false,true))"),FALSE)</f>
        <v>0</v>
      </c>
      <c r="K176" s="53" t="b">
        <f ca="1">IFERROR(__xludf.DUMMYFUNCTION("if($G176="""",false, if(isna(match(K$2, split($G176:$G383,"", "",False),0)),false,true))"),FALSE)</f>
        <v>0</v>
      </c>
      <c r="L176" s="53" t="b">
        <f ca="1">IFERROR(__xludf.DUMMYFUNCTION("if($G176="""",false, if(isna(match(L$2, split($G176:$G383,"", "",False),0)),false,true))"),FALSE)</f>
        <v>0</v>
      </c>
      <c r="M176" s="53" t="b">
        <f ca="1">IFERROR(__xludf.DUMMYFUNCTION("if($G176="""",false, if(isna(match(M$2, split($G176:$G383,"", "",False),0)),false,true))"),FALSE)</f>
        <v>0</v>
      </c>
      <c r="N176" s="53" t="b">
        <f ca="1">IFERROR(__xludf.DUMMYFUNCTION("if($G176="""",false, if(isna(match(N$2, split($G176:$G383,"", "",False),0)),false,true))"),FALSE)</f>
        <v>0</v>
      </c>
      <c r="O176" s="53" t="b">
        <f ca="1">IFERROR(__xludf.DUMMYFUNCTION("if($G176="""",false, if(isna(match(O$2, split($G176:$G383,"", "",False),0)),false,true))"),FALSE)</f>
        <v>0</v>
      </c>
      <c r="P176" s="53" t="b">
        <f ca="1">IFERROR(__xludf.DUMMYFUNCTION("if($G176="""",false, if(isna(match(P$2, split($G176:$G383,"", "",False),0)),false,true))"),TRUE)</f>
        <v>1</v>
      </c>
      <c r="Q176" s="53" t="b">
        <f ca="1">IFERROR(__xludf.DUMMYFUNCTION("if($G176="""",false, if(isna(match(Q$2, split($G176:$G383,"", "",False),0)),false,true))"),FALSE)</f>
        <v>0</v>
      </c>
      <c r="R176" s="53" t="b">
        <f ca="1">IFERROR(__xludf.DUMMYFUNCTION("if($G176="""",false, if(isna(match(R$2, split($G176:$G383,"", "",False),0)),false,true))"),FALSE)</f>
        <v>0</v>
      </c>
      <c r="S176" s="53" t="b">
        <f ca="1">IFERROR(__xludf.DUMMYFUNCTION("if($G176="""",false, if(isna(match(S$2, split($G176:$G383,"", "",False),0)),false,true))"),FALSE)</f>
        <v>0</v>
      </c>
      <c r="T176" s="53" t="b">
        <f ca="1">IFERROR(__xludf.DUMMYFUNCTION("if($G176="""",false, if(isna(match(T$2, split($G176:$G383,"", "",False),0)),false,true))"),TRUE)</f>
        <v>1</v>
      </c>
      <c r="U176" s="53" t="b">
        <f ca="1">IFERROR(__xludf.DUMMYFUNCTION("if($G176="""",false, if(isna(match(U$2, split($G176:$G383,"", "",False),0)),false,true))"),FALSE)</f>
        <v>0</v>
      </c>
      <c r="V176" s="53" t="b">
        <f ca="1">IFERROR(__xludf.DUMMYFUNCTION("if($G176="""",false, if(isna(match(V$2, split($G176:$G383,"", "",False),0)),false,true))"),FALSE)</f>
        <v>0</v>
      </c>
      <c r="W176" s="57" t="b">
        <f ca="1">IFERROR(__xludf.DUMMYFUNCTION("if($G176="""",false, if(isna(match(W$2, split($G176:$G383,"", "",False),0)),false,true))"),FALSE)</f>
        <v>0</v>
      </c>
    </row>
    <row r="177" spans="1:23" ht="28">
      <c r="A177" s="47" t="s">
        <v>555</v>
      </c>
      <c r="B177" s="47" t="s">
        <v>64</v>
      </c>
      <c r="C177" s="49" t="s">
        <v>529</v>
      </c>
      <c r="D177" s="52" t="s">
        <v>530</v>
      </c>
      <c r="E177" s="49" t="s">
        <v>552</v>
      </c>
      <c r="F177" s="52" t="s">
        <v>556</v>
      </c>
      <c r="G177" s="59" t="s">
        <v>557</v>
      </c>
      <c r="H177" s="53" t="b">
        <f ca="1">IFERROR(__xludf.DUMMYFUNCTION("if($G177="""",false, if(isna(match(H$2, split($G177:$G383,"", "",False),0)),false,true))"),FALSE)</f>
        <v>0</v>
      </c>
      <c r="I177" s="53" t="b">
        <f ca="1">IFERROR(__xludf.DUMMYFUNCTION("if($G177="""",false, if(isna(match(I$2, split($G177:$G383,"", "",False),0)),false,true))"),FALSE)</f>
        <v>0</v>
      </c>
      <c r="J177" s="53" t="b">
        <f ca="1">IFERROR(__xludf.DUMMYFUNCTION("if($G177="""",false, if(isna(match(J$2, split($G177:$G383,"", "",False),0)),false,true))"),FALSE)</f>
        <v>0</v>
      </c>
      <c r="K177" s="53" t="b">
        <f ca="1">IFERROR(__xludf.DUMMYFUNCTION("if($G177="""",false, if(isna(match(K$2, split($G177:$G383,"", "",False),0)),false,true))"),FALSE)</f>
        <v>0</v>
      </c>
      <c r="L177" s="53" t="b">
        <f ca="1">IFERROR(__xludf.DUMMYFUNCTION("if($G177="""",false, if(isna(match(L$2, split($G177:$G383,"", "",False),0)),false,true))"),FALSE)</f>
        <v>0</v>
      </c>
      <c r="M177" s="53" t="b">
        <f ca="1">IFERROR(__xludf.DUMMYFUNCTION("if($G177="""",false, if(isna(match(M$2, split($G177:$G383,"", "",False),0)),false,true))"),FALSE)</f>
        <v>0</v>
      </c>
      <c r="N177" s="53" t="b">
        <f ca="1">IFERROR(__xludf.DUMMYFUNCTION("if($G177="""",false, if(isna(match(N$2, split($G177:$G383,"", "",False),0)),false,true))"),FALSE)</f>
        <v>0</v>
      </c>
      <c r="O177" s="53" t="b">
        <f ca="1">IFERROR(__xludf.DUMMYFUNCTION("if($G177="""",false, if(isna(match(O$2, split($G177:$G383,"", "",False),0)),false,true))"),FALSE)</f>
        <v>0</v>
      </c>
      <c r="P177" s="53" t="b">
        <f ca="1">IFERROR(__xludf.DUMMYFUNCTION("if($G177="""",false, if(isna(match(P$2, split($G177:$G383,"", "",False),0)),false,true))"),TRUE)</f>
        <v>1</v>
      </c>
      <c r="Q177" s="53" t="b">
        <f ca="1">IFERROR(__xludf.DUMMYFUNCTION("if($G177="""",false, if(isna(match(Q$2, split($G177:$G383,"", "",False),0)),false,true))"),FALSE)</f>
        <v>0</v>
      </c>
      <c r="R177" s="53" t="b">
        <f ca="1">IFERROR(__xludf.DUMMYFUNCTION("if($G177="""",false, if(isna(match(R$2, split($G177:$G383,"", "",False),0)),false,true))"),FALSE)</f>
        <v>0</v>
      </c>
      <c r="S177" s="53" t="b">
        <f ca="1">IFERROR(__xludf.DUMMYFUNCTION("if($G177="""",false, if(isna(match(S$2, split($G177:$G383,"", "",False),0)),false,true))"),TRUE)</f>
        <v>1</v>
      </c>
      <c r="T177" s="53" t="b">
        <f ca="1">IFERROR(__xludf.DUMMYFUNCTION("if($G177="""",false, if(isna(match(T$2, split($G177:$G383,"", "",False),0)),false,true))"),FALSE)</f>
        <v>0</v>
      </c>
      <c r="U177" s="53" t="b">
        <f ca="1">IFERROR(__xludf.DUMMYFUNCTION("if($G177="""",false, if(isna(match(U$2, split($G177:$G383,"", "",False),0)),false,true))"),FALSE)</f>
        <v>0</v>
      </c>
      <c r="V177" s="53" t="b">
        <f ca="1">IFERROR(__xludf.DUMMYFUNCTION("if($G177="""",false, if(isna(match(V$2, split($G177:$G383,"", "",False),0)),false,true))"),FALSE)</f>
        <v>0</v>
      </c>
      <c r="W177" s="57" t="b">
        <f ca="1">IFERROR(__xludf.DUMMYFUNCTION("if($G177="""",false, if(isna(match(W$2, split($G177:$G383,"", "",False),0)),false,true))"),FALSE)</f>
        <v>0</v>
      </c>
    </row>
    <row r="178" spans="1:23" ht="42">
      <c r="A178" s="47" t="s">
        <v>558</v>
      </c>
      <c r="B178" s="47" t="s">
        <v>64</v>
      </c>
      <c r="C178" s="49" t="s">
        <v>529</v>
      </c>
      <c r="D178" s="52" t="s">
        <v>530</v>
      </c>
      <c r="E178" s="49" t="s">
        <v>552</v>
      </c>
      <c r="F178" s="52" t="s">
        <v>559</v>
      </c>
      <c r="G178" s="59" t="s">
        <v>554</v>
      </c>
      <c r="H178" s="53" t="b">
        <f ca="1">IFERROR(__xludf.DUMMYFUNCTION("if($G178="""",false, if(isna(match(H$2, split($G178:$G383,"", "",False),0)),false,true))"),FALSE)</f>
        <v>0</v>
      </c>
      <c r="I178" s="53" t="b">
        <f ca="1">IFERROR(__xludf.DUMMYFUNCTION("if($G178="""",false, if(isna(match(I$2, split($G178:$G383,"", "",False),0)),false,true))"),FALSE)</f>
        <v>0</v>
      </c>
      <c r="J178" s="53" t="b">
        <f ca="1">IFERROR(__xludf.DUMMYFUNCTION("if($G178="""",false, if(isna(match(J$2, split($G178:$G383,"", "",False),0)),false,true))"),FALSE)</f>
        <v>0</v>
      </c>
      <c r="K178" s="53" t="b">
        <f ca="1">IFERROR(__xludf.DUMMYFUNCTION("if($G178="""",false, if(isna(match(K$2, split($G178:$G383,"", "",False),0)),false,true))"),FALSE)</f>
        <v>0</v>
      </c>
      <c r="L178" s="53" t="b">
        <f ca="1">IFERROR(__xludf.DUMMYFUNCTION("if($G178="""",false, if(isna(match(L$2, split($G178:$G383,"", "",False),0)),false,true))"),FALSE)</f>
        <v>0</v>
      </c>
      <c r="M178" s="53" t="b">
        <f ca="1">IFERROR(__xludf.DUMMYFUNCTION("if($G178="""",false, if(isna(match(M$2, split($G178:$G383,"", "",False),0)),false,true))"),FALSE)</f>
        <v>0</v>
      </c>
      <c r="N178" s="53" t="b">
        <f ca="1">IFERROR(__xludf.DUMMYFUNCTION("if($G178="""",false, if(isna(match(N$2, split($G178:$G383,"", "",False),0)),false,true))"),FALSE)</f>
        <v>0</v>
      </c>
      <c r="O178" s="53" t="b">
        <f ca="1">IFERROR(__xludf.DUMMYFUNCTION("if($G178="""",false, if(isna(match(O$2, split($G178:$G383,"", "",False),0)),false,true))"),FALSE)</f>
        <v>0</v>
      </c>
      <c r="P178" s="53" t="b">
        <f ca="1">IFERROR(__xludf.DUMMYFUNCTION("if($G178="""",false, if(isna(match(P$2, split($G178:$G383,"", "",False),0)),false,true))"),TRUE)</f>
        <v>1</v>
      </c>
      <c r="Q178" s="53" t="b">
        <f ca="1">IFERROR(__xludf.DUMMYFUNCTION("if($G178="""",false, if(isna(match(Q$2, split($G178:$G383,"", "",False),0)),false,true))"),FALSE)</f>
        <v>0</v>
      </c>
      <c r="R178" s="53" t="b">
        <f ca="1">IFERROR(__xludf.DUMMYFUNCTION("if($G178="""",false, if(isna(match(R$2, split($G178:$G383,"", "",False),0)),false,true))"),FALSE)</f>
        <v>0</v>
      </c>
      <c r="S178" s="53" t="b">
        <f ca="1">IFERROR(__xludf.DUMMYFUNCTION("if($G178="""",false, if(isna(match(S$2, split($G178:$G383,"", "",False),0)),false,true))"),FALSE)</f>
        <v>0</v>
      </c>
      <c r="T178" s="53" t="b">
        <f ca="1">IFERROR(__xludf.DUMMYFUNCTION("if($G178="""",false, if(isna(match(T$2, split($G178:$G383,"", "",False),0)),false,true))"),TRUE)</f>
        <v>1</v>
      </c>
      <c r="U178" s="53" t="b">
        <f ca="1">IFERROR(__xludf.DUMMYFUNCTION("if($G178="""",false, if(isna(match(U$2, split($G178:$G383,"", "",False),0)),false,true))"),FALSE)</f>
        <v>0</v>
      </c>
      <c r="V178" s="53" t="b">
        <f ca="1">IFERROR(__xludf.DUMMYFUNCTION("if($G178="""",false, if(isna(match(V$2, split($G178:$G383,"", "",False),0)),false,true))"),FALSE)</f>
        <v>0</v>
      </c>
      <c r="W178" s="57" t="b">
        <f ca="1">IFERROR(__xludf.DUMMYFUNCTION("if($G178="""",false, if(isna(match(W$2, split($G178:$G383,"", "",False),0)),false,true))"),FALSE)</f>
        <v>0</v>
      </c>
    </row>
    <row r="179" spans="1:23" ht="28">
      <c r="A179" s="47" t="s">
        <v>560</v>
      </c>
      <c r="B179" s="47" t="s">
        <v>64</v>
      </c>
      <c r="C179" s="49" t="s">
        <v>529</v>
      </c>
      <c r="D179" s="52" t="s">
        <v>530</v>
      </c>
      <c r="E179" s="49" t="s">
        <v>561</v>
      </c>
      <c r="F179" s="52" t="s">
        <v>562</v>
      </c>
      <c r="G179" s="59" t="s">
        <v>563</v>
      </c>
      <c r="H179" s="53" t="b">
        <f ca="1">IFERROR(__xludf.DUMMYFUNCTION("if($G179="""",false, if(isna(match(H$2, split($G179:$G383,"", "",False),0)),false,true))"),FALSE)</f>
        <v>0</v>
      </c>
      <c r="I179" s="53" t="b">
        <f ca="1">IFERROR(__xludf.DUMMYFUNCTION("if($G179="""",false, if(isna(match(I$2, split($G179:$G383,"", "",False),0)),false,true))"),FALSE)</f>
        <v>0</v>
      </c>
      <c r="J179" s="53" t="b">
        <f ca="1">IFERROR(__xludf.DUMMYFUNCTION("if($G179="""",false, if(isna(match(J$2, split($G179:$G383,"", "",False),0)),false,true))"),FALSE)</f>
        <v>0</v>
      </c>
      <c r="K179" s="53" t="b">
        <f ca="1">IFERROR(__xludf.DUMMYFUNCTION("if($G179="""",false, if(isna(match(K$2, split($G179:$G383,"", "",False),0)),false,true))"),FALSE)</f>
        <v>0</v>
      </c>
      <c r="L179" s="53" t="b">
        <f ca="1">IFERROR(__xludf.DUMMYFUNCTION("if($G179="""",false, if(isna(match(L$2, split($G179:$G383,"", "",False),0)),false,true))"),FALSE)</f>
        <v>0</v>
      </c>
      <c r="M179" s="53" t="b">
        <f ca="1">IFERROR(__xludf.DUMMYFUNCTION("if($G179="""",false, if(isna(match(M$2, split($G179:$G383,"", "",False),0)),false,true))"),FALSE)</f>
        <v>0</v>
      </c>
      <c r="N179" s="53" t="b">
        <f ca="1">IFERROR(__xludf.DUMMYFUNCTION("if($G179="""",false, if(isna(match(N$2, split($G179:$G383,"", "",False),0)),false,true))"),FALSE)</f>
        <v>0</v>
      </c>
      <c r="O179" s="53" t="b">
        <f ca="1">IFERROR(__xludf.DUMMYFUNCTION("if($G179="""",false, if(isna(match(O$2, split($G179:$G383,"", "",False),0)),false,true))"),FALSE)</f>
        <v>0</v>
      </c>
      <c r="P179" s="53" t="b">
        <f ca="1">IFERROR(__xludf.DUMMYFUNCTION("if($G179="""",false, if(isna(match(P$2, split($G179:$G383,"", "",False),0)),false,true))"),TRUE)</f>
        <v>1</v>
      </c>
      <c r="Q179" s="53" t="b">
        <f ca="1">IFERROR(__xludf.DUMMYFUNCTION("if($G179="""",false, if(isna(match(Q$2, split($G179:$G383,"", "",False),0)),false,true))"),TRUE)</f>
        <v>1</v>
      </c>
      <c r="R179" s="53" t="b">
        <f ca="1">IFERROR(__xludf.DUMMYFUNCTION("if($G179="""",false, if(isna(match(R$2, split($G179:$G383,"", "",False),0)),false,true))"),FALSE)</f>
        <v>0</v>
      </c>
      <c r="S179" s="53" t="b">
        <f ca="1">IFERROR(__xludf.DUMMYFUNCTION("if($G179="""",false, if(isna(match(S$2, split($G179:$G383,"", "",False),0)),false,true))"),FALSE)</f>
        <v>0</v>
      </c>
      <c r="T179" s="53" t="b">
        <f ca="1">IFERROR(__xludf.DUMMYFUNCTION("if($G179="""",false, if(isna(match(T$2, split($G179:$G383,"", "",False),0)),false,true))"),FALSE)</f>
        <v>0</v>
      </c>
      <c r="U179" s="53" t="b">
        <f ca="1">IFERROR(__xludf.DUMMYFUNCTION("if($G179="""",false, if(isna(match(U$2, split($G179:$G383,"", "",False),0)),false,true))"),FALSE)</f>
        <v>0</v>
      </c>
      <c r="V179" s="53" t="b">
        <f ca="1">IFERROR(__xludf.DUMMYFUNCTION("if($G179="""",false, if(isna(match(V$2, split($G179:$G383,"", "",False),0)),false,true))"),FALSE)</f>
        <v>0</v>
      </c>
      <c r="W179" s="57" t="b">
        <f ca="1">IFERROR(__xludf.DUMMYFUNCTION("if($G179="""",false, if(isna(match(W$2, split($G179:$G383,"", "",False),0)),false,true))"),FALSE)</f>
        <v>0</v>
      </c>
    </row>
    <row r="180" spans="1:23" ht="28">
      <c r="A180" s="47" t="s">
        <v>564</v>
      </c>
      <c r="B180" s="47" t="s">
        <v>64</v>
      </c>
      <c r="C180" s="49" t="s">
        <v>529</v>
      </c>
      <c r="D180" s="52" t="s">
        <v>530</v>
      </c>
      <c r="E180" s="49" t="s">
        <v>561</v>
      </c>
      <c r="F180" s="52" t="s">
        <v>565</v>
      </c>
      <c r="G180" s="59" t="s">
        <v>566</v>
      </c>
      <c r="H180" s="53" t="b">
        <f ca="1">IFERROR(__xludf.DUMMYFUNCTION("if($G180="""",false, if(isna(match(H$2, split($G180:$G383,"", "",False),0)),false,true))"),FALSE)</f>
        <v>0</v>
      </c>
      <c r="I180" s="53" t="b">
        <f ca="1">IFERROR(__xludf.DUMMYFUNCTION("if($G180="""",false, if(isna(match(I$2, split($G180:$G383,"", "",False),0)),false,true))"),FALSE)</f>
        <v>0</v>
      </c>
      <c r="J180" s="53" t="b">
        <f ca="1">IFERROR(__xludf.DUMMYFUNCTION("if($G180="""",false, if(isna(match(J$2, split($G180:$G383,"", "",False),0)),false,true))"),FALSE)</f>
        <v>0</v>
      </c>
      <c r="K180" s="53" t="b">
        <f ca="1">IFERROR(__xludf.DUMMYFUNCTION("if($G180="""",false, if(isna(match(K$2, split($G180:$G383,"", "",False),0)),false,true))"),FALSE)</f>
        <v>0</v>
      </c>
      <c r="L180" s="53" t="b">
        <f ca="1">IFERROR(__xludf.DUMMYFUNCTION("if($G180="""",false, if(isna(match(L$2, split($G180:$G383,"", "",False),0)),false,true))"),FALSE)</f>
        <v>0</v>
      </c>
      <c r="M180" s="53" t="b">
        <f ca="1">IFERROR(__xludf.DUMMYFUNCTION("if($G180="""",false, if(isna(match(M$2, split($G180:$G383,"", "",False),0)),false,true))"),FALSE)</f>
        <v>0</v>
      </c>
      <c r="N180" s="53" t="b">
        <f ca="1">IFERROR(__xludf.DUMMYFUNCTION("if($G180="""",false, if(isna(match(N$2, split($G180:$G383,"", "",False),0)),false,true))"),FALSE)</f>
        <v>0</v>
      </c>
      <c r="O180" s="53" t="b">
        <f ca="1">IFERROR(__xludf.DUMMYFUNCTION("if($G180="""",false, if(isna(match(O$2, split($G180:$G383,"", "",False),0)),false,true))"),FALSE)</f>
        <v>0</v>
      </c>
      <c r="P180" s="53" t="b">
        <f ca="1">IFERROR(__xludf.DUMMYFUNCTION("if($G180="""",false, if(isna(match(P$2, split($G180:$G383,"", "",False),0)),false,true))"),FALSE)</f>
        <v>0</v>
      </c>
      <c r="Q180" s="53" t="b">
        <f ca="1">IFERROR(__xludf.DUMMYFUNCTION("if($G180="""",false, if(isna(match(Q$2, split($G180:$G383,"", "",False),0)),false,true))"),FALSE)</f>
        <v>0</v>
      </c>
      <c r="R180" s="53" t="b">
        <f ca="1">IFERROR(__xludf.DUMMYFUNCTION("if($G180="""",false, if(isna(match(R$2, split($G180:$G383,"", "",False),0)),false,true))"),FALSE)</f>
        <v>0</v>
      </c>
      <c r="S180" s="53" t="b">
        <f ca="1">IFERROR(__xludf.DUMMYFUNCTION("if($G180="""",false, if(isna(match(S$2, split($G180:$G383,"", "",False),0)),false,true))"),FALSE)</f>
        <v>0</v>
      </c>
      <c r="T180" s="53" t="b">
        <f ca="1">IFERROR(__xludf.DUMMYFUNCTION("if($G180="""",false, if(isna(match(T$2, split($G180:$G383,"", "",False),0)),false,true))"),FALSE)</f>
        <v>0</v>
      </c>
      <c r="U180" s="53" t="b">
        <f ca="1">IFERROR(__xludf.DUMMYFUNCTION("if($G180="""",false, if(isna(match(U$2, split($G180:$G383,"", "",False),0)),false,true))"),FALSE)</f>
        <v>0</v>
      </c>
      <c r="V180" s="53" t="b">
        <f ca="1">IFERROR(__xludf.DUMMYFUNCTION("if($G180="""",false, if(isna(match(V$2, split($G180:$G383,"", "",False),0)),false,true))"),FALSE)</f>
        <v>0</v>
      </c>
      <c r="W180" s="57" t="b">
        <f ca="1">IFERROR(__xludf.DUMMYFUNCTION("if($G180="""",false, if(isna(match(W$2, split($G180:$G383,"", "",False),0)),false,true))"),FALSE)</f>
        <v>0</v>
      </c>
    </row>
    <row r="181" spans="1:23" ht="56">
      <c r="A181" s="47" t="s">
        <v>567</v>
      </c>
      <c r="B181" s="47" t="s">
        <v>64</v>
      </c>
      <c r="C181" s="49" t="s">
        <v>529</v>
      </c>
      <c r="D181" s="52" t="s">
        <v>530</v>
      </c>
      <c r="E181" s="49" t="s">
        <v>561</v>
      </c>
      <c r="F181" s="52" t="s">
        <v>568</v>
      </c>
      <c r="G181" s="59" t="s">
        <v>116</v>
      </c>
      <c r="H181" s="53" t="b">
        <f ca="1">IFERROR(__xludf.DUMMYFUNCTION("if($G181="""",false, if(isna(match(H$2, split($G181:$G383,"", "",False),0)),false,true))"),FALSE)</f>
        <v>0</v>
      </c>
      <c r="I181" s="53" t="b">
        <f ca="1">IFERROR(__xludf.DUMMYFUNCTION("if($G181="""",false, if(isna(match(I$2, split($G181:$G383,"", "",False),0)),false,true))"),FALSE)</f>
        <v>0</v>
      </c>
      <c r="J181" s="53" t="b">
        <f ca="1">IFERROR(__xludf.DUMMYFUNCTION("if($G181="""",false, if(isna(match(J$2, split($G181:$G383,"", "",False),0)),false,true))"),FALSE)</f>
        <v>0</v>
      </c>
      <c r="K181" s="53" t="b">
        <f ca="1">IFERROR(__xludf.DUMMYFUNCTION("if($G181="""",false, if(isna(match(K$2, split($G181:$G383,"", "",False),0)),false,true))"),FALSE)</f>
        <v>0</v>
      </c>
      <c r="L181" s="53" t="b">
        <f ca="1">IFERROR(__xludf.DUMMYFUNCTION("if($G181="""",false, if(isna(match(L$2, split($G181:$G383,"", "",False),0)),false,true))"),FALSE)</f>
        <v>0</v>
      </c>
      <c r="M181" s="53" t="b">
        <f ca="1">IFERROR(__xludf.DUMMYFUNCTION("if($G181="""",false, if(isna(match(M$2, split($G181:$G383,"", "",False),0)),false,true))"),FALSE)</f>
        <v>0</v>
      </c>
      <c r="N181" s="53" t="b">
        <f ca="1">IFERROR(__xludf.DUMMYFUNCTION("if($G181="""",false, if(isna(match(N$2, split($G181:$G383,"", "",False),0)),false,true))"),FALSE)</f>
        <v>0</v>
      </c>
      <c r="O181" s="53" t="b">
        <f ca="1">IFERROR(__xludf.DUMMYFUNCTION("if($G181="""",false, if(isna(match(O$2, split($G181:$G383,"", "",False),0)),false,true))"),FALSE)</f>
        <v>0</v>
      </c>
      <c r="P181" s="53" t="b">
        <f ca="1">IFERROR(__xludf.DUMMYFUNCTION("if($G181="""",false, if(isna(match(P$2, split($G181:$G383,"", "",False),0)),false,true))"),TRUE)</f>
        <v>1</v>
      </c>
      <c r="Q181" s="53" t="b">
        <f ca="1">IFERROR(__xludf.DUMMYFUNCTION("if($G181="""",false, if(isna(match(Q$2, split($G181:$G383,"", "",False),0)),false,true))"),FALSE)</f>
        <v>0</v>
      </c>
      <c r="R181" s="53" t="b">
        <f ca="1">IFERROR(__xludf.DUMMYFUNCTION("if($G181="""",false, if(isna(match(R$2, split($G181:$G383,"", "",False),0)),false,true))"),FALSE)</f>
        <v>0</v>
      </c>
      <c r="S181" s="53" t="b">
        <f ca="1">IFERROR(__xludf.DUMMYFUNCTION("if($G181="""",false, if(isna(match(S$2, split($G181:$G383,"", "",False),0)),false,true))"),FALSE)</f>
        <v>0</v>
      </c>
      <c r="T181" s="53" t="b">
        <f ca="1">IFERROR(__xludf.DUMMYFUNCTION("if($G181="""",false, if(isna(match(T$2, split($G181:$G383,"", "",False),0)),false,true))"),FALSE)</f>
        <v>0</v>
      </c>
      <c r="U181" s="53" t="b">
        <f ca="1">IFERROR(__xludf.DUMMYFUNCTION("if($G181="""",false, if(isna(match(U$2, split($G181:$G383,"", "",False),0)),false,true))"),FALSE)</f>
        <v>0</v>
      </c>
      <c r="V181" s="53" t="b">
        <f ca="1">IFERROR(__xludf.DUMMYFUNCTION("if($G181="""",false, if(isna(match(V$2, split($G181:$G383,"", "",False),0)),false,true))"),FALSE)</f>
        <v>0</v>
      </c>
      <c r="W181" s="57" t="b">
        <f ca="1">IFERROR(__xludf.DUMMYFUNCTION("if($G181="""",false, if(isna(match(W$2, split($G181:$G383,"", "",False),0)),false,true))"),FALSE)</f>
        <v>0</v>
      </c>
    </row>
    <row r="182" spans="1:23" ht="42">
      <c r="A182" s="47" t="s">
        <v>569</v>
      </c>
      <c r="B182" s="47" t="s">
        <v>64</v>
      </c>
      <c r="C182" s="49" t="s">
        <v>529</v>
      </c>
      <c r="D182" s="52" t="s">
        <v>530</v>
      </c>
      <c r="E182" s="49" t="s">
        <v>561</v>
      </c>
      <c r="F182" s="52" t="s">
        <v>570</v>
      </c>
      <c r="G182" s="59" t="s">
        <v>197</v>
      </c>
      <c r="H182" s="53" t="b">
        <f ca="1">IFERROR(__xludf.DUMMYFUNCTION("if($G182="""",false, if(isna(match(H$2, split($G182:$G383,"", "",False),0)),false,true))"),FALSE)</f>
        <v>0</v>
      </c>
      <c r="I182" s="53" t="b">
        <f ca="1">IFERROR(__xludf.DUMMYFUNCTION("if($G182="""",false, if(isna(match(I$2, split($G182:$G383,"", "",False),0)),false,true))"),FALSE)</f>
        <v>0</v>
      </c>
      <c r="J182" s="53" t="b">
        <f ca="1">IFERROR(__xludf.DUMMYFUNCTION("if($G182="""",false, if(isna(match(J$2, split($G182:$G383,"", "",False),0)),false,true))"),FALSE)</f>
        <v>0</v>
      </c>
      <c r="K182" s="53" t="b">
        <f ca="1">IFERROR(__xludf.DUMMYFUNCTION("if($G182="""",false, if(isna(match(K$2, split($G182:$G383,"", "",False),0)),false,true))"),FALSE)</f>
        <v>0</v>
      </c>
      <c r="L182" s="53" t="b">
        <f ca="1">IFERROR(__xludf.DUMMYFUNCTION("if($G182="""",false, if(isna(match(L$2, split($G182:$G383,"", "",False),0)),false,true))"),FALSE)</f>
        <v>0</v>
      </c>
      <c r="M182" s="53" t="b">
        <f ca="1">IFERROR(__xludf.DUMMYFUNCTION("if($G182="""",false, if(isna(match(M$2, split($G182:$G383,"", "",False),0)),false,true))"),FALSE)</f>
        <v>0</v>
      </c>
      <c r="N182" s="53" t="b">
        <f ca="1">IFERROR(__xludf.DUMMYFUNCTION("if($G182="""",false, if(isna(match(N$2, split($G182:$G383,"", "",False),0)),false,true))"),FALSE)</f>
        <v>0</v>
      </c>
      <c r="O182" s="53" t="b">
        <f ca="1">IFERROR(__xludf.DUMMYFUNCTION("if($G182="""",false, if(isna(match(O$2, split($G182:$G383,"", "",False),0)),false,true))"),FALSE)</f>
        <v>0</v>
      </c>
      <c r="P182" s="53" t="b">
        <f ca="1">IFERROR(__xludf.DUMMYFUNCTION("if($G182="""",false, if(isna(match(P$2, split($G182:$G383,"", "",False),0)),false,true))"),FALSE)</f>
        <v>0</v>
      </c>
      <c r="Q182" s="53" t="b">
        <f ca="1">IFERROR(__xludf.DUMMYFUNCTION("if($G182="""",false, if(isna(match(Q$2, split($G182:$G383,"", "",False),0)),false,true))"),FALSE)</f>
        <v>0</v>
      </c>
      <c r="R182" s="53" t="b">
        <f ca="1">IFERROR(__xludf.DUMMYFUNCTION("if($G182="""",false, if(isna(match(R$2, split($G182:$G383,"", "",False),0)),false,true))"),FALSE)</f>
        <v>0</v>
      </c>
      <c r="S182" s="53" t="b">
        <f ca="1">IFERROR(__xludf.DUMMYFUNCTION("if($G182="""",false, if(isna(match(S$2, split($G182:$G383,"", "",False),0)),false,true))"),FALSE)</f>
        <v>0</v>
      </c>
      <c r="T182" s="53" t="b">
        <f ca="1">IFERROR(__xludf.DUMMYFUNCTION("if($G182="""",false, if(isna(match(T$2, split($G182:$G383,"", "",False),0)),false,true))"),FALSE)</f>
        <v>0</v>
      </c>
      <c r="U182" s="53" t="b">
        <f ca="1">IFERROR(__xludf.DUMMYFUNCTION("if($G182="""",false, if(isna(match(U$2, split($G182:$G383,"", "",False),0)),false,true))"),FALSE)</f>
        <v>0</v>
      </c>
      <c r="V182" s="53" t="b">
        <f ca="1">IFERROR(__xludf.DUMMYFUNCTION("if($G182="""",false, if(isna(match(V$2, split($G182:$G383,"", "",False),0)),false,true))"),FALSE)</f>
        <v>0</v>
      </c>
      <c r="W182" s="57" t="b">
        <f ca="1">IFERROR(__xludf.DUMMYFUNCTION("if($G182="""",false, if(isna(match(W$2, split($G182:$G383,"", "",False),0)),false,true))"),FALSE)</f>
        <v>0</v>
      </c>
    </row>
    <row r="183" spans="1:23" ht="56">
      <c r="A183" s="47" t="s">
        <v>571</v>
      </c>
      <c r="B183" s="47" t="s">
        <v>64</v>
      </c>
      <c r="C183" s="49" t="s">
        <v>529</v>
      </c>
      <c r="D183" s="52" t="s">
        <v>530</v>
      </c>
      <c r="E183" s="49" t="s">
        <v>572</v>
      </c>
      <c r="F183" s="52" t="s">
        <v>573</v>
      </c>
      <c r="G183" s="59" t="s">
        <v>117</v>
      </c>
      <c r="H183" s="53" t="b">
        <f ca="1">IFERROR(__xludf.DUMMYFUNCTION("if($G183="""",false, if(isna(match(H$2, split($G183:$G383,"", "",False),0)),false,true))"),FALSE)</f>
        <v>0</v>
      </c>
      <c r="I183" s="53" t="b">
        <f ca="1">IFERROR(__xludf.DUMMYFUNCTION("if($G183="""",false, if(isna(match(I$2, split($G183:$G383,"", "",False),0)),false,true))"),FALSE)</f>
        <v>0</v>
      </c>
      <c r="J183" s="53" t="b">
        <f ca="1">IFERROR(__xludf.DUMMYFUNCTION("if($G183="""",false, if(isna(match(J$2, split($G183:$G383,"", "",False),0)),false,true))"),FALSE)</f>
        <v>0</v>
      </c>
      <c r="K183" s="53" t="b">
        <f ca="1">IFERROR(__xludf.DUMMYFUNCTION("if($G183="""",false, if(isna(match(K$2, split($G183:$G383,"", "",False),0)),false,true))"),FALSE)</f>
        <v>0</v>
      </c>
      <c r="L183" s="53" t="b">
        <f ca="1">IFERROR(__xludf.DUMMYFUNCTION("if($G183="""",false, if(isna(match(L$2, split($G183:$G383,"", "",False),0)),false,true))"),FALSE)</f>
        <v>0</v>
      </c>
      <c r="M183" s="53" t="b">
        <f ca="1">IFERROR(__xludf.DUMMYFUNCTION("if($G183="""",false, if(isna(match(M$2, split($G183:$G383,"", "",False),0)),false,true))"),FALSE)</f>
        <v>0</v>
      </c>
      <c r="N183" s="53" t="b">
        <f ca="1">IFERROR(__xludf.DUMMYFUNCTION("if($G183="""",false, if(isna(match(N$2, split($G183:$G383,"", "",False),0)),false,true))"),FALSE)</f>
        <v>0</v>
      </c>
      <c r="O183" s="53" t="b">
        <f ca="1">IFERROR(__xludf.DUMMYFUNCTION("if($G183="""",false, if(isna(match(O$2, split($G183:$G383,"", "",False),0)),false,true))"),FALSE)</f>
        <v>0</v>
      </c>
      <c r="P183" s="53" t="b">
        <f ca="1">IFERROR(__xludf.DUMMYFUNCTION("if($G183="""",false, if(isna(match(P$2, split($G183:$G383,"", "",False),0)),false,true))"),FALSE)</f>
        <v>0</v>
      </c>
      <c r="Q183" s="53" t="b">
        <f ca="1">IFERROR(__xludf.DUMMYFUNCTION("if($G183="""",false, if(isna(match(Q$2, split($G183:$G383,"", "",False),0)),false,true))"),TRUE)</f>
        <v>1</v>
      </c>
      <c r="R183" s="53" t="b">
        <f ca="1">IFERROR(__xludf.DUMMYFUNCTION("if($G183="""",false, if(isna(match(R$2, split($G183:$G383,"", "",False),0)),false,true))"),FALSE)</f>
        <v>0</v>
      </c>
      <c r="S183" s="53" t="b">
        <f ca="1">IFERROR(__xludf.DUMMYFUNCTION("if($G183="""",false, if(isna(match(S$2, split($G183:$G383,"", "",False),0)),false,true))"),FALSE)</f>
        <v>0</v>
      </c>
      <c r="T183" s="53" t="b">
        <f ca="1">IFERROR(__xludf.DUMMYFUNCTION("if($G183="""",false, if(isna(match(T$2, split($G183:$G383,"", "",False),0)),false,true))"),FALSE)</f>
        <v>0</v>
      </c>
      <c r="U183" s="53" t="b">
        <f ca="1">IFERROR(__xludf.DUMMYFUNCTION("if($G183="""",false, if(isna(match(U$2, split($G183:$G383,"", "",False),0)),false,true))"),FALSE)</f>
        <v>0</v>
      </c>
      <c r="V183" s="53" t="b">
        <f ca="1">IFERROR(__xludf.DUMMYFUNCTION("if($G183="""",false, if(isna(match(V$2, split($G183:$G383,"", "",False),0)),false,true))"),FALSE)</f>
        <v>0</v>
      </c>
      <c r="W183" s="57" t="b">
        <f ca="1">IFERROR(__xludf.DUMMYFUNCTION("if($G183="""",false, if(isna(match(W$2, split($G183:$G383,"", "",False),0)),false,true))"),FALSE)</f>
        <v>0</v>
      </c>
    </row>
    <row r="184" spans="1:23" ht="56">
      <c r="A184" s="47" t="s">
        <v>574</v>
      </c>
      <c r="B184" s="47" t="s">
        <v>64</v>
      </c>
      <c r="C184" s="49" t="s">
        <v>529</v>
      </c>
      <c r="D184" s="52" t="s">
        <v>530</v>
      </c>
      <c r="E184" s="49" t="s">
        <v>572</v>
      </c>
      <c r="F184" s="52" t="s">
        <v>575</v>
      </c>
      <c r="G184" s="59" t="s">
        <v>117</v>
      </c>
      <c r="H184" s="53" t="b">
        <f ca="1">IFERROR(__xludf.DUMMYFUNCTION("if($G184="""",false, if(isna(match(H$2, split($G184:$G383,"", "",False),0)),false,true))"),FALSE)</f>
        <v>0</v>
      </c>
      <c r="I184" s="53" t="b">
        <f ca="1">IFERROR(__xludf.DUMMYFUNCTION("if($G184="""",false, if(isna(match(I$2, split($G184:$G383,"", "",False),0)),false,true))"),FALSE)</f>
        <v>0</v>
      </c>
      <c r="J184" s="53" t="b">
        <f ca="1">IFERROR(__xludf.DUMMYFUNCTION("if($G184="""",false, if(isna(match(J$2, split($G184:$G383,"", "",False),0)),false,true))"),FALSE)</f>
        <v>0</v>
      </c>
      <c r="K184" s="53" t="b">
        <f ca="1">IFERROR(__xludf.DUMMYFUNCTION("if($G184="""",false, if(isna(match(K$2, split($G184:$G383,"", "",False),0)),false,true))"),FALSE)</f>
        <v>0</v>
      </c>
      <c r="L184" s="53" t="b">
        <f ca="1">IFERROR(__xludf.DUMMYFUNCTION("if($G184="""",false, if(isna(match(L$2, split($G184:$G383,"", "",False),0)),false,true))"),FALSE)</f>
        <v>0</v>
      </c>
      <c r="M184" s="53" t="b">
        <f ca="1">IFERROR(__xludf.DUMMYFUNCTION("if($G184="""",false, if(isna(match(M$2, split($G184:$G383,"", "",False),0)),false,true))"),FALSE)</f>
        <v>0</v>
      </c>
      <c r="N184" s="53" t="b">
        <f ca="1">IFERROR(__xludf.DUMMYFUNCTION("if($G184="""",false, if(isna(match(N$2, split($G184:$G383,"", "",False),0)),false,true))"),FALSE)</f>
        <v>0</v>
      </c>
      <c r="O184" s="53" t="b">
        <f ca="1">IFERROR(__xludf.DUMMYFUNCTION("if($G184="""",false, if(isna(match(O$2, split($G184:$G383,"", "",False),0)),false,true))"),FALSE)</f>
        <v>0</v>
      </c>
      <c r="P184" s="53" t="b">
        <f ca="1">IFERROR(__xludf.DUMMYFUNCTION("if($G184="""",false, if(isna(match(P$2, split($G184:$G383,"", "",False),0)),false,true))"),FALSE)</f>
        <v>0</v>
      </c>
      <c r="Q184" s="53" t="b">
        <f ca="1">IFERROR(__xludf.DUMMYFUNCTION("if($G184="""",false, if(isna(match(Q$2, split($G184:$G383,"", "",False),0)),false,true))"),TRUE)</f>
        <v>1</v>
      </c>
      <c r="R184" s="53" t="b">
        <f ca="1">IFERROR(__xludf.DUMMYFUNCTION("if($G184="""",false, if(isna(match(R$2, split($G184:$G383,"", "",False),0)),false,true))"),FALSE)</f>
        <v>0</v>
      </c>
      <c r="S184" s="53" t="b">
        <f ca="1">IFERROR(__xludf.DUMMYFUNCTION("if($G184="""",false, if(isna(match(S$2, split($G184:$G383,"", "",False),0)),false,true))"),FALSE)</f>
        <v>0</v>
      </c>
      <c r="T184" s="53" t="b">
        <f ca="1">IFERROR(__xludf.DUMMYFUNCTION("if($G184="""",false, if(isna(match(T$2, split($G184:$G383,"", "",False),0)),false,true))"),FALSE)</f>
        <v>0</v>
      </c>
      <c r="U184" s="53" t="b">
        <f ca="1">IFERROR(__xludf.DUMMYFUNCTION("if($G184="""",false, if(isna(match(U$2, split($G184:$G383,"", "",False),0)),false,true))"),FALSE)</f>
        <v>0</v>
      </c>
      <c r="V184" s="53" t="b">
        <f ca="1">IFERROR(__xludf.DUMMYFUNCTION("if($G184="""",false, if(isna(match(V$2, split($G184:$G383,"", "",False),0)),false,true))"),FALSE)</f>
        <v>0</v>
      </c>
      <c r="W184" s="57" t="b">
        <f ca="1">IFERROR(__xludf.DUMMYFUNCTION("if($G184="""",false, if(isna(match(W$2, split($G184:$G383,"", "",False),0)),false,true))"),FALSE)</f>
        <v>0</v>
      </c>
    </row>
    <row r="185" spans="1:23" ht="28">
      <c r="A185" s="47" t="s">
        <v>576</v>
      </c>
      <c r="B185" s="47" t="s">
        <v>64</v>
      </c>
      <c r="C185" s="49" t="s">
        <v>529</v>
      </c>
      <c r="D185" s="52" t="s">
        <v>530</v>
      </c>
      <c r="E185" s="49" t="s">
        <v>572</v>
      </c>
      <c r="F185" s="52" t="s">
        <v>577</v>
      </c>
      <c r="G185" s="59" t="s">
        <v>117</v>
      </c>
      <c r="H185" s="53" t="b">
        <f ca="1">IFERROR(__xludf.DUMMYFUNCTION("if($G185="""",false, if(isna(match(H$2, split($G185:$G383,"", "",False),0)),false,true))"),FALSE)</f>
        <v>0</v>
      </c>
      <c r="I185" s="53" t="b">
        <f ca="1">IFERROR(__xludf.DUMMYFUNCTION("if($G185="""",false, if(isna(match(I$2, split($G185:$G383,"", "",False),0)),false,true))"),FALSE)</f>
        <v>0</v>
      </c>
      <c r="J185" s="53" t="b">
        <f ca="1">IFERROR(__xludf.DUMMYFUNCTION("if($G185="""",false, if(isna(match(J$2, split($G185:$G383,"", "",False),0)),false,true))"),FALSE)</f>
        <v>0</v>
      </c>
      <c r="K185" s="53" t="b">
        <f ca="1">IFERROR(__xludf.DUMMYFUNCTION("if($G185="""",false, if(isna(match(K$2, split($G185:$G383,"", "",False),0)),false,true))"),FALSE)</f>
        <v>0</v>
      </c>
      <c r="L185" s="53" t="b">
        <f ca="1">IFERROR(__xludf.DUMMYFUNCTION("if($G185="""",false, if(isna(match(L$2, split($G185:$G383,"", "",False),0)),false,true))"),FALSE)</f>
        <v>0</v>
      </c>
      <c r="M185" s="53" t="b">
        <f ca="1">IFERROR(__xludf.DUMMYFUNCTION("if($G185="""",false, if(isna(match(M$2, split($G185:$G383,"", "",False),0)),false,true))"),FALSE)</f>
        <v>0</v>
      </c>
      <c r="N185" s="53" t="b">
        <f ca="1">IFERROR(__xludf.DUMMYFUNCTION("if($G185="""",false, if(isna(match(N$2, split($G185:$G383,"", "",False),0)),false,true))"),FALSE)</f>
        <v>0</v>
      </c>
      <c r="O185" s="53" t="b">
        <f ca="1">IFERROR(__xludf.DUMMYFUNCTION("if($G185="""",false, if(isna(match(O$2, split($G185:$G383,"", "",False),0)),false,true))"),FALSE)</f>
        <v>0</v>
      </c>
      <c r="P185" s="53" t="b">
        <f ca="1">IFERROR(__xludf.DUMMYFUNCTION("if($G185="""",false, if(isna(match(P$2, split($G185:$G383,"", "",False),0)),false,true))"),FALSE)</f>
        <v>0</v>
      </c>
      <c r="Q185" s="53" t="b">
        <f ca="1">IFERROR(__xludf.DUMMYFUNCTION("if($G185="""",false, if(isna(match(Q$2, split($G185:$G383,"", "",False),0)),false,true))"),TRUE)</f>
        <v>1</v>
      </c>
      <c r="R185" s="53" t="b">
        <f ca="1">IFERROR(__xludf.DUMMYFUNCTION("if($G185="""",false, if(isna(match(R$2, split($G185:$G383,"", "",False),0)),false,true))"),FALSE)</f>
        <v>0</v>
      </c>
      <c r="S185" s="53" t="b">
        <f ca="1">IFERROR(__xludf.DUMMYFUNCTION("if($G185="""",false, if(isna(match(S$2, split($G185:$G383,"", "",False),0)),false,true))"),FALSE)</f>
        <v>0</v>
      </c>
      <c r="T185" s="53" t="b">
        <f ca="1">IFERROR(__xludf.DUMMYFUNCTION("if($G185="""",false, if(isna(match(T$2, split($G185:$G383,"", "",False),0)),false,true))"),FALSE)</f>
        <v>0</v>
      </c>
      <c r="U185" s="53" t="b">
        <f ca="1">IFERROR(__xludf.DUMMYFUNCTION("if($G185="""",false, if(isna(match(U$2, split($G185:$G383,"", "",False),0)),false,true))"),FALSE)</f>
        <v>0</v>
      </c>
      <c r="V185" s="53" t="b">
        <f ca="1">IFERROR(__xludf.DUMMYFUNCTION("if($G185="""",false, if(isna(match(V$2, split($G185:$G383,"", "",False),0)),false,true))"),FALSE)</f>
        <v>0</v>
      </c>
      <c r="W185" s="57" t="b">
        <f ca="1">IFERROR(__xludf.DUMMYFUNCTION("if($G185="""",false, if(isna(match(W$2, split($G185:$G383,"", "",False),0)),false,true))"),FALSE)</f>
        <v>0</v>
      </c>
    </row>
    <row r="186" spans="1:23" ht="42">
      <c r="A186" s="47" t="s">
        <v>578</v>
      </c>
      <c r="B186" s="47" t="s">
        <v>64</v>
      </c>
      <c r="C186" s="49" t="s">
        <v>529</v>
      </c>
      <c r="D186" s="52" t="s">
        <v>530</v>
      </c>
      <c r="E186" s="49" t="s">
        <v>579</v>
      </c>
      <c r="F186" s="52" t="s">
        <v>580</v>
      </c>
      <c r="G186" s="59" t="s">
        <v>581</v>
      </c>
      <c r="H186" s="53" t="b">
        <f ca="1">IFERROR(__xludf.DUMMYFUNCTION("if($G186="""",false, if(isna(match(H$2, split($G186:$G383,"", "",False),0)),false,true))"),FALSE)</f>
        <v>0</v>
      </c>
      <c r="I186" s="53" t="b">
        <f ca="1">IFERROR(__xludf.DUMMYFUNCTION("if($G186="""",false, if(isna(match(I$2, split($G186:$G383,"", "",False),0)),false,true))"),FALSE)</f>
        <v>0</v>
      </c>
      <c r="J186" s="53" t="b">
        <f ca="1">IFERROR(__xludf.DUMMYFUNCTION("if($G186="""",false, if(isna(match(J$2, split($G186:$G383,"", "",False),0)),false,true))"),FALSE)</f>
        <v>0</v>
      </c>
      <c r="K186" s="53" t="b">
        <f ca="1">IFERROR(__xludf.DUMMYFUNCTION("if($G186="""",false, if(isna(match(K$2, split($G186:$G383,"", "",False),0)),false,true))"),FALSE)</f>
        <v>0</v>
      </c>
      <c r="L186" s="53" t="b">
        <f ca="1">IFERROR(__xludf.DUMMYFUNCTION("if($G186="""",false, if(isna(match(L$2, split($G186:$G383,"", "",False),0)),false,true))"),FALSE)</f>
        <v>0</v>
      </c>
      <c r="M186" s="53" t="b">
        <f ca="1">IFERROR(__xludf.DUMMYFUNCTION("if($G186="""",false, if(isna(match(M$2, split($G186:$G383,"", "",False),0)),false,true))"),FALSE)</f>
        <v>0</v>
      </c>
      <c r="N186" s="53" t="b">
        <f ca="1">IFERROR(__xludf.DUMMYFUNCTION("if($G186="""",false, if(isna(match(N$2, split($G186:$G383,"", "",False),0)),false,true))"),FALSE)</f>
        <v>0</v>
      </c>
      <c r="O186" s="53" t="b">
        <f ca="1">IFERROR(__xludf.DUMMYFUNCTION("if($G186="""",false, if(isna(match(O$2, split($G186:$G383,"", "",False),0)),false,true))"),FALSE)</f>
        <v>0</v>
      </c>
      <c r="P186" s="53" t="b">
        <f ca="1">IFERROR(__xludf.DUMMYFUNCTION("if($G186="""",false, if(isna(match(P$2, split($G186:$G383,"", "",False),0)),false,true))"),FALSE)</f>
        <v>0</v>
      </c>
      <c r="Q186" s="53" t="b">
        <f ca="1">IFERROR(__xludf.DUMMYFUNCTION("if($G186="""",false, if(isna(match(Q$2, split($G186:$G383,"", "",False),0)),false,true))"),TRUE)</f>
        <v>1</v>
      </c>
      <c r="R186" s="53" t="b">
        <f ca="1">IFERROR(__xludf.DUMMYFUNCTION("if($G186="""",false, if(isna(match(R$2, split($G186:$G383,"", "",False),0)),false,true))"),FALSE)</f>
        <v>0</v>
      </c>
      <c r="S186" s="53" t="b">
        <f ca="1">IFERROR(__xludf.DUMMYFUNCTION("if($G186="""",false, if(isna(match(S$2, split($G186:$G383,"", "",False),0)),false,true))"),TRUE)</f>
        <v>1</v>
      </c>
      <c r="T186" s="53" t="b">
        <f ca="1">IFERROR(__xludf.DUMMYFUNCTION("if($G186="""",false, if(isna(match(T$2, split($G186:$G383,"", "",False),0)),false,true))"),TRUE)</f>
        <v>1</v>
      </c>
      <c r="U186" s="53" t="b">
        <f ca="1">IFERROR(__xludf.DUMMYFUNCTION("if($G186="""",false, if(isna(match(U$2, split($G186:$G383,"", "",False),0)),false,true))"),FALSE)</f>
        <v>0</v>
      </c>
      <c r="V186" s="53" t="b">
        <f ca="1">IFERROR(__xludf.DUMMYFUNCTION("if($G186="""",false, if(isna(match(V$2, split($G186:$G383,"", "",False),0)),false,true))"),FALSE)</f>
        <v>0</v>
      </c>
      <c r="W186" s="57" t="b">
        <f ca="1">IFERROR(__xludf.DUMMYFUNCTION("if($G186="""",false, if(isna(match(W$2, split($G186:$G383,"", "",False),0)),false,true))"),FALSE)</f>
        <v>0</v>
      </c>
    </row>
    <row r="187" spans="1:23" ht="56">
      <c r="A187" s="47" t="s">
        <v>582</v>
      </c>
      <c r="B187" s="47" t="s">
        <v>64</v>
      </c>
      <c r="C187" s="49" t="s">
        <v>529</v>
      </c>
      <c r="D187" s="52" t="s">
        <v>530</v>
      </c>
      <c r="E187" s="49" t="s">
        <v>579</v>
      </c>
      <c r="F187" s="52" t="s">
        <v>583</v>
      </c>
      <c r="G187" s="59" t="s">
        <v>176</v>
      </c>
      <c r="H187" s="53" t="b">
        <f ca="1">IFERROR(__xludf.DUMMYFUNCTION("if($G187="""",false, if(isna(match(H$2, split($G187:$G383,"", "",False),0)),false,true))"),FALSE)</f>
        <v>0</v>
      </c>
      <c r="I187" s="53" t="b">
        <f ca="1">IFERROR(__xludf.DUMMYFUNCTION("if($G187="""",false, if(isna(match(I$2, split($G187:$G383,"", "",False),0)),false,true))"),FALSE)</f>
        <v>0</v>
      </c>
      <c r="J187" s="53" t="b">
        <f ca="1">IFERROR(__xludf.DUMMYFUNCTION("if($G187="""",false, if(isna(match(J$2, split($G187:$G383,"", "",False),0)),false,true))"),FALSE)</f>
        <v>0</v>
      </c>
      <c r="K187" s="53" t="b">
        <f ca="1">IFERROR(__xludf.DUMMYFUNCTION("if($G187="""",false, if(isna(match(K$2, split($G187:$G383,"", "",False),0)),false,true))"),FALSE)</f>
        <v>0</v>
      </c>
      <c r="L187" s="53" t="b">
        <f ca="1">IFERROR(__xludf.DUMMYFUNCTION("if($G187="""",false, if(isna(match(L$2, split($G187:$G383,"", "",False),0)),false,true))"),FALSE)</f>
        <v>0</v>
      </c>
      <c r="M187" s="53" t="b">
        <f ca="1">IFERROR(__xludf.DUMMYFUNCTION("if($G187="""",false, if(isna(match(M$2, split($G187:$G383,"", "",False),0)),false,true))"),FALSE)</f>
        <v>0</v>
      </c>
      <c r="N187" s="53" t="b">
        <f ca="1">IFERROR(__xludf.DUMMYFUNCTION("if($G187="""",false, if(isna(match(N$2, split($G187:$G383,"", "",False),0)),false,true))"),FALSE)</f>
        <v>0</v>
      </c>
      <c r="O187" s="53" t="b">
        <f ca="1">IFERROR(__xludf.DUMMYFUNCTION("if($G187="""",false, if(isna(match(O$2, split($G187:$G383,"", "",False),0)),false,true))"),FALSE)</f>
        <v>0</v>
      </c>
      <c r="P187" s="53" t="b">
        <f ca="1">IFERROR(__xludf.DUMMYFUNCTION("if($G187="""",false, if(isna(match(P$2, split($G187:$G383,"", "",False),0)),false,true))"),FALSE)</f>
        <v>0</v>
      </c>
      <c r="Q187" s="53" t="b">
        <f ca="1">IFERROR(__xludf.DUMMYFUNCTION("if($G187="""",false, if(isna(match(Q$2, split($G187:$G383,"", "",False),0)),false,true))"),FALSE)</f>
        <v>0</v>
      </c>
      <c r="R187" s="53" t="b">
        <f ca="1">IFERROR(__xludf.DUMMYFUNCTION("if($G187="""",false, if(isna(match(R$2, split($G187:$G383,"", "",False),0)),false,true))"),FALSE)</f>
        <v>0</v>
      </c>
      <c r="S187" s="53" t="b">
        <f ca="1">IFERROR(__xludf.DUMMYFUNCTION("if($G187="""",false, if(isna(match(S$2, split($G187:$G383,"", "",False),0)),false,true))"),TRUE)</f>
        <v>1</v>
      </c>
      <c r="T187" s="53" t="b">
        <f ca="1">IFERROR(__xludf.DUMMYFUNCTION("if($G187="""",false, if(isna(match(T$2, split($G187:$G383,"", "",False),0)),false,true))"),TRUE)</f>
        <v>1</v>
      </c>
      <c r="U187" s="53" t="b">
        <f ca="1">IFERROR(__xludf.DUMMYFUNCTION("if($G187="""",false, if(isna(match(U$2, split($G187:$G383,"", "",False),0)),false,true))"),FALSE)</f>
        <v>0</v>
      </c>
      <c r="V187" s="53" t="b">
        <f ca="1">IFERROR(__xludf.DUMMYFUNCTION("if($G187="""",false, if(isna(match(V$2, split($G187:$G383,"", "",False),0)),false,true))"),FALSE)</f>
        <v>0</v>
      </c>
      <c r="W187" s="57" t="b">
        <f ca="1">IFERROR(__xludf.DUMMYFUNCTION("if($G187="""",false, if(isna(match(W$2, split($G187:$G383,"", "",False),0)),false,true))"),FALSE)</f>
        <v>0</v>
      </c>
    </row>
    <row r="188" spans="1:23" ht="42">
      <c r="A188" s="47" t="s">
        <v>584</v>
      </c>
      <c r="B188" s="47" t="s">
        <v>64</v>
      </c>
      <c r="C188" s="49" t="s">
        <v>529</v>
      </c>
      <c r="D188" s="52" t="s">
        <v>530</v>
      </c>
      <c r="E188" s="49" t="s">
        <v>579</v>
      </c>
      <c r="F188" s="52" t="s">
        <v>585</v>
      </c>
      <c r="G188" s="59" t="s">
        <v>119</v>
      </c>
      <c r="H188" s="53" t="b">
        <f ca="1">IFERROR(__xludf.DUMMYFUNCTION("if($G188="""",false, if(isna(match(H$2, split($G188:$G383,"", "",False),0)),false,true))"),FALSE)</f>
        <v>0</v>
      </c>
      <c r="I188" s="53" t="b">
        <f ca="1">IFERROR(__xludf.DUMMYFUNCTION("if($G188="""",false, if(isna(match(I$2, split($G188:$G383,"", "",False),0)),false,true))"),FALSE)</f>
        <v>0</v>
      </c>
      <c r="J188" s="53" t="b">
        <f ca="1">IFERROR(__xludf.DUMMYFUNCTION("if($G188="""",false, if(isna(match(J$2, split($G188:$G383,"", "",False),0)),false,true))"),FALSE)</f>
        <v>0</v>
      </c>
      <c r="K188" s="53" t="b">
        <f ca="1">IFERROR(__xludf.DUMMYFUNCTION("if($G188="""",false, if(isna(match(K$2, split($G188:$G383,"", "",False),0)),false,true))"),FALSE)</f>
        <v>0</v>
      </c>
      <c r="L188" s="53" t="b">
        <f ca="1">IFERROR(__xludf.DUMMYFUNCTION("if($G188="""",false, if(isna(match(L$2, split($G188:$G383,"", "",False),0)),false,true))"),FALSE)</f>
        <v>0</v>
      </c>
      <c r="M188" s="53" t="b">
        <f ca="1">IFERROR(__xludf.DUMMYFUNCTION("if($G188="""",false, if(isna(match(M$2, split($G188:$G383,"", "",False),0)),false,true))"),FALSE)</f>
        <v>0</v>
      </c>
      <c r="N188" s="53" t="b">
        <f ca="1">IFERROR(__xludf.DUMMYFUNCTION("if($G188="""",false, if(isna(match(N$2, split($G188:$G383,"", "",False),0)),false,true))"),FALSE)</f>
        <v>0</v>
      </c>
      <c r="O188" s="53" t="b">
        <f ca="1">IFERROR(__xludf.DUMMYFUNCTION("if($G188="""",false, if(isna(match(O$2, split($G188:$G383,"", "",False),0)),false,true))"),FALSE)</f>
        <v>0</v>
      </c>
      <c r="P188" s="53" t="b">
        <f ca="1">IFERROR(__xludf.DUMMYFUNCTION("if($G188="""",false, if(isna(match(P$2, split($G188:$G383,"", "",False),0)),false,true))"),FALSE)</f>
        <v>0</v>
      </c>
      <c r="Q188" s="53" t="b">
        <f ca="1">IFERROR(__xludf.DUMMYFUNCTION("if($G188="""",false, if(isna(match(Q$2, split($G188:$G383,"", "",False),0)),false,true))"),FALSE)</f>
        <v>0</v>
      </c>
      <c r="R188" s="53" t="b">
        <f ca="1">IFERROR(__xludf.DUMMYFUNCTION("if($G188="""",false, if(isna(match(R$2, split($G188:$G383,"", "",False),0)),false,true))"),FALSE)</f>
        <v>0</v>
      </c>
      <c r="S188" s="53" t="b">
        <f ca="1">IFERROR(__xludf.DUMMYFUNCTION("if($G188="""",false, if(isna(match(S$2, split($G188:$G383,"", "",False),0)),false,true))"),TRUE)</f>
        <v>1</v>
      </c>
      <c r="T188" s="53" t="b">
        <f ca="1">IFERROR(__xludf.DUMMYFUNCTION("if($G188="""",false, if(isna(match(T$2, split($G188:$G383,"", "",False),0)),false,true))"),FALSE)</f>
        <v>0</v>
      </c>
      <c r="U188" s="53" t="b">
        <f ca="1">IFERROR(__xludf.DUMMYFUNCTION("if($G188="""",false, if(isna(match(U$2, split($G188:$G383,"", "",False),0)),false,true))"),FALSE)</f>
        <v>0</v>
      </c>
      <c r="V188" s="53" t="b">
        <f ca="1">IFERROR(__xludf.DUMMYFUNCTION("if($G188="""",false, if(isna(match(V$2, split($G188:$G383,"", "",False),0)),false,true))"),FALSE)</f>
        <v>0</v>
      </c>
      <c r="W188" s="57" t="b">
        <f ca="1">IFERROR(__xludf.DUMMYFUNCTION("if($G188="""",false, if(isna(match(W$2, split($G188:$G383,"", "",False),0)),false,true))"),FALSE)</f>
        <v>0</v>
      </c>
    </row>
    <row r="189" spans="1:23" ht="28">
      <c r="A189" s="47" t="s">
        <v>586</v>
      </c>
      <c r="B189" s="47" t="s">
        <v>65</v>
      </c>
      <c r="C189" s="49" t="s">
        <v>587</v>
      </c>
      <c r="D189" s="52" t="s">
        <v>588</v>
      </c>
      <c r="E189" s="49" t="s">
        <v>589</v>
      </c>
      <c r="F189" s="52" t="s">
        <v>590</v>
      </c>
      <c r="G189" s="59" t="s">
        <v>109</v>
      </c>
      <c r="H189" s="53" t="b">
        <f ca="1">IFERROR(__xludf.DUMMYFUNCTION("if($G189="""",false, if(isna(match(H$2, split($G189:$G383,"", "",False),0)),false,true))"),FALSE)</f>
        <v>0</v>
      </c>
      <c r="I189" s="53" t="b">
        <f ca="1">IFERROR(__xludf.DUMMYFUNCTION("if($G189="""",false, if(isna(match(I$2, split($G189:$G383,"", "",False),0)),false,true))"),TRUE)</f>
        <v>1</v>
      </c>
      <c r="J189" s="53" t="b">
        <f ca="1">IFERROR(__xludf.DUMMYFUNCTION("if($G189="""",false, if(isna(match(J$2, split($G189:$G383,"", "",False),0)),false,true))"),FALSE)</f>
        <v>0</v>
      </c>
      <c r="K189" s="53" t="b">
        <f ca="1">IFERROR(__xludf.DUMMYFUNCTION("if($G189="""",false, if(isna(match(K$2, split($G189:$G383,"", "",False),0)),false,true))"),FALSE)</f>
        <v>0</v>
      </c>
      <c r="L189" s="53" t="b">
        <f ca="1">IFERROR(__xludf.DUMMYFUNCTION("if($G189="""",false, if(isna(match(L$2, split($G189:$G383,"", "",False),0)),false,true))"),FALSE)</f>
        <v>0</v>
      </c>
      <c r="M189" s="53" t="b">
        <f ca="1">IFERROR(__xludf.DUMMYFUNCTION("if($G189="""",false, if(isna(match(M$2, split($G189:$G383,"", "",False),0)),false,true))"),FALSE)</f>
        <v>0</v>
      </c>
      <c r="N189" s="53" t="b">
        <f ca="1">IFERROR(__xludf.DUMMYFUNCTION("if($G189="""",false, if(isna(match(N$2, split($G189:$G383,"", "",False),0)),false,true))"),FALSE)</f>
        <v>0</v>
      </c>
      <c r="O189" s="53" t="b">
        <f ca="1">IFERROR(__xludf.DUMMYFUNCTION("if($G189="""",false, if(isna(match(O$2, split($G189:$G383,"", "",False),0)),false,true))"),FALSE)</f>
        <v>0</v>
      </c>
      <c r="P189" s="53" t="b">
        <f ca="1">IFERROR(__xludf.DUMMYFUNCTION("if($G189="""",false, if(isna(match(P$2, split($G189:$G383,"", "",False),0)),false,true))"),FALSE)</f>
        <v>0</v>
      </c>
      <c r="Q189" s="53" t="b">
        <f ca="1">IFERROR(__xludf.DUMMYFUNCTION("if($G189="""",false, if(isna(match(Q$2, split($G189:$G383,"", "",False),0)),false,true))"),FALSE)</f>
        <v>0</v>
      </c>
      <c r="R189" s="53" t="b">
        <f ca="1">IFERROR(__xludf.DUMMYFUNCTION("if($G189="""",false, if(isna(match(R$2, split($G189:$G383,"", "",False),0)),false,true))"),FALSE)</f>
        <v>0</v>
      </c>
      <c r="S189" s="53" t="b">
        <f ca="1">IFERROR(__xludf.DUMMYFUNCTION("if($G189="""",false, if(isna(match(S$2, split($G189:$G383,"", "",False),0)),false,true))"),FALSE)</f>
        <v>0</v>
      </c>
      <c r="T189" s="53" t="b">
        <f ca="1">IFERROR(__xludf.DUMMYFUNCTION("if($G189="""",false, if(isna(match(T$2, split($G189:$G383,"", "",False),0)),false,true))"),FALSE)</f>
        <v>0</v>
      </c>
      <c r="U189" s="53" t="b">
        <f ca="1">IFERROR(__xludf.DUMMYFUNCTION("if($G189="""",false, if(isna(match(U$2, split($G189:$G383,"", "",False),0)),false,true))"),FALSE)</f>
        <v>0</v>
      </c>
      <c r="V189" s="53" t="b">
        <f ca="1">IFERROR(__xludf.DUMMYFUNCTION("if($G189="""",false, if(isna(match(V$2, split($G189:$G383,"", "",False),0)),false,true))"),FALSE)</f>
        <v>0</v>
      </c>
      <c r="W189" s="57" t="b">
        <f ca="1">IFERROR(__xludf.DUMMYFUNCTION("if($G189="""",false, if(isna(match(W$2, split($G189:$G383,"", "",False),0)),false,true))"),FALSE)</f>
        <v>0</v>
      </c>
    </row>
    <row r="190" spans="1:23" ht="168">
      <c r="A190" s="47" t="s">
        <v>591</v>
      </c>
      <c r="B190" s="47" t="s">
        <v>65</v>
      </c>
      <c r="C190" s="49" t="s">
        <v>587</v>
      </c>
      <c r="D190" s="52" t="s">
        <v>588</v>
      </c>
      <c r="E190" s="49" t="s">
        <v>589</v>
      </c>
      <c r="F190" s="52" t="s">
        <v>592</v>
      </c>
      <c r="G190" s="59" t="s">
        <v>109</v>
      </c>
      <c r="H190" s="53" t="b">
        <f ca="1">IFERROR(__xludf.DUMMYFUNCTION("if($G190="""",false, if(isna(match(H$2, split($G190:$G383,"", "",False),0)),false,true))"),FALSE)</f>
        <v>0</v>
      </c>
      <c r="I190" s="53" t="b">
        <f ca="1">IFERROR(__xludf.DUMMYFUNCTION("if($G190="""",false, if(isna(match(I$2, split($G190:$G383,"", "",False),0)),false,true))"),TRUE)</f>
        <v>1</v>
      </c>
      <c r="J190" s="53" t="b">
        <f ca="1">IFERROR(__xludf.DUMMYFUNCTION("if($G190="""",false, if(isna(match(J$2, split($G190:$G383,"", "",False),0)),false,true))"),FALSE)</f>
        <v>0</v>
      </c>
      <c r="K190" s="53" t="b">
        <f ca="1">IFERROR(__xludf.DUMMYFUNCTION("if($G190="""",false, if(isna(match(K$2, split($G190:$G383,"", "",False),0)),false,true))"),FALSE)</f>
        <v>0</v>
      </c>
      <c r="L190" s="53" t="b">
        <f ca="1">IFERROR(__xludf.DUMMYFUNCTION("if($G190="""",false, if(isna(match(L$2, split($G190:$G383,"", "",False),0)),false,true))"),FALSE)</f>
        <v>0</v>
      </c>
      <c r="M190" s="53" t="b">
        <f ca="1">IFERROR(__xludf.DUMMYFUNCTION("if($G190="""",false, if(isna(match(M$2, split($G190:$G383,"", "",False),0)),false,true))"),FALSE)</f>
        <v>0</v>
      </c>
      <c r="N190" s="53" t="b">
        <f ca="1">IFERROR(__xludf.DUMMYFUNCTION("if($G190="""",false, if(isna(match(N$2, split($G190:$G383,"", "",False),0)),false,true))"),FALSE)</f>
        <v>0</v>
      </c>
      <c r="O190" s="53" t="b">
        <f ca="1">IFERROR(__xludf.DUMMYFUNCTION("if($G190="""",false, if(isna(match(O$2, split($G190:$G383,"", "",False),0)),false,true))"),FALSE)</f>
        <v>0</v>
      </c>
      <c r="P190" s="53" t="b">
        <f ca="1">IFERROR(__xludf.DUMMYFUNCTION("if($G190="""",false, if(isna(match(P$2, split($G190:$G383,"", "",False),0)),false,true))"),FALSE)</f>
        <v>0</v>
      </c>
      <c r="Q190" s="53" t="b">
        <f ca="1">IFERROR(__xludf.DUMMYFUNCTION("if($G190="""",false, if(isna(match(Q$2, split($G190:$G383,"", "",False),0)),false,true))"),FALSE)</f>
        <v>0</v>
      </c>
      <c r="R190" s="53" t="b">
        <f ca="1">IFERROR(__xludf.DUMMYFUNCTION("if($G190="""",false, if(isna(match(R$2, split($G190:$G383,"", "",False),0)),false,true))"),FALSE)</f>
        <v>0</v>
      </c>
      <c r="S190" s="53" t="b">
        <f ca="1">IFERROR(__xludf.DUMMYFUNCTION("if($G190="""",false, if(isna(match(S$2, split($G190:$G383,"", "",False),0)),false,true))"),FALSE)</f>
        <v>0</v>
      </c>
      <c r="T190" s="53" t="b">
        <f ca="1">IFERROR(__xludf.DUMMYFUNCTION("if($G190="""",false, if(isna(match(T$2, split($G190:$G383,"", "",False),0)),false,true))"),FALSE)</f>
        <v>0</v>
      </c>
      <c r="U190" s="53" t="b">
        <f ca="1">IFERROR(__xludf.DUMMYFUNCTION("if($G190="""",false, if(isna(match(U$2, split($G190:$G383,"", "",False),0)),false,true))"),FALSE)</f>
        <v>0</v>
      </c>
      <c r="V190" s="53" t="b">
        <f ca="1">IFERROR(__xludf.DUMMYFUNCTION("if($G190="""",false, if(isna(match(V$2, split($G190:$G383,"", "",False),0)),false,true))"),FALSE)</f>
        <v>0</v>
      </c>
      <c r="W190" s="57" t="b">
        <f ca="1">IFERROR(__xludf.DUMMYFUNCTION("if($G190="""",false, if(isna(match(W$2, split($G190:$G383,"", "",False),0)),false,true))"),FALSE)</f>
        <v>0</v>
      </c>
    </row>
    <row r="191" spans="1:23" ht="28">
      <c r="A191" s="47" t="s">
        <v>593</v>
      </c>
      <c r="B191" s="47" t="s">
        <v>65</v>
      </c>
      <c r="C191" s="49" t="s">
        <v>587</v>
      </c>
      <c r="D191" s="52" t="s">
        <v>588</v>
      </c>
      <c r="E191" s="49" t="s">
        <v>589</v>
      </c>
      <c r="F191" s="52" t="s">
        <v>594</v>
      </c>
      <c r="G191" s="59" t="s">
        <v>595</v>
      </c>
      <c r="H191" s="53" t="b">
        <f ca="1">IFERROR(__xludf.DUMMYFUNCTION("if($G191="""",false, if(isna(match(H$2, split($G191:$G383,"", "",False),0)),false,true))"),FALSE)</f>
        <v>0</v>
      </c>
      <c r="I191" s="53" t="b">
        <f ca="1">IFERROR(__xludf.DUMMYFUNCTION("if($G191="""",false, if(isna(match(I$2, split($G191:$G383,"", "",False),0)),false,true))"),FALSE)</f>
        <v>0</v>
      </c>
      <c r="J191" s="53" t="b">
        <f ca="1">IFERROR(__xludf.DUMMYFUNCTION("if($G191="""",false, if(isna(match(J$2, split($G191:$G383,"", "",False),0)),false,true))"),FALSE)</f>
        <v>0</v>
      </c>
      <c r="K191" s="53" t="b">
        <f ca="1">IFERROR(__xludf.DUMMYFUNCTION("if($G191="""",false, if(isna(match(K$2, split($G191:$G383,"", "",False),0)),false,true))"),FALSE)</f>
        <v>0</v>
      </c>
      <c r="L191" s="53" t="b">
        <f ca="1">IFERROR(__xludf.DUMMYFUNCTION("if($G191="""",false, if(isna(match(L$2, split($G191:$G383,"", "",False),0)),false,true))"),FALSE)</f>
        <v>0</v>
      </c>
      <c r="M191" s="53" t="b">
        <f ca="1">IFERROR(__xludf.DUMMYFUNCTION("if($G191="""",false, if(isna(match(M$2, split($G191:$G383,"", "",False),0)),false,true))"),FALSE)</f>
        <v>0</v>
      </c>
      <c r="N191" s="53" t="b">
        <f ca="1">IFERROR(__xludf.DUMMYFUNCTION("if($G191="""",false, if(isna(match(N$2, split($G191:$G383,"", "",False),0)),false,true))"),FALSE)</f>
        <v>0</v>
      </c>
      <c r="O191" s="53" t="b">
        <f ca="1">IFERROR(__xludf.DUMMYFUNCTION("if($G191="""",false, if(isna(match(O$2, split($G191:$G383,"", "",False),0)),false,true))"),FALSE)</f>
        <v>0</v>
      </c>
      <c r="P191" s="53" t="b">
        <f ca="1">IFERROR(__xludf.DUMMYFUNCTION("if($G191="""",false, if(isna(match(P$2, split($G191:$G383,"", "",False),0)),false,true))"),FALSE)</f>
        <v>0</v>
      </c>
      <c r="Q191" s="53" t="b">
        <f ca="1">IFERROR(__xludf.DUMMYFUNCTION("if($G191="""",false, if(isna(match(Q$2, split($G191:$G383,"", "",False),0)),false,true))"),FALSE)</f>
        <v>0</v>
      </c>
      <c r="R191" s="53" t="b">
        <f ca="1">IFERROR(__xludf.DUMMYFUNCTION("if($G191="""",false, if(isna(match(R$2, split($G191:$G383,"", "",False),0)),false,true))"),FALSE)</f>
        <v>0</v>
      </c>
      <c r="S191" s="53" t="b">
        <f ca="1">IFERROR(__xludf.DUMMYFUNCTION("if($G191="""",false, if(isna(match(S$2, split($G191:$G383,"", "",False),0)),false,true))"),FALSE)</f>
        <v>0</v>
      </c>
      <c r="T191" s="53" t="b">
        <f ca="1">IFERROR(__xludf.DUMMYFUNCTION("if($G191="""",false, if(isna(match(T$2, split($G191:$G383,"", "",False),0)),false,true))"),FALSE)</f>
        <v>0</v>
      </c>
      <c r="U191" s="53" t="b">
        <f ca="1">IFERROR(__xludf.DUMMYFUNCTION("if($G191="""",false, if(isna(match(U$2, split($G191:$G383,"", "",False),0)),false,true))"),FALSE)</f>
        <v>0</v>
      </c>
      <c r="V191" s="53" t="b">
        <f ca="1">IFERROR(__xludf.DUMMYFUNCTION("if($G191="""",false, if(isna(match(V$2, split($G191:$G383,"", "",False),0)),false,true))"),FALSE)</f>
        <v>0</v>
      </c>
      <c r="W191" s="57" t="b">
        <f ca="1">IFERROR(__xludf.DUMMYFUNCTION("if($G191="""",false, if(isna(match(W$2, split($G191:$G383,"", "",False),0)),false,true))"),FALSE)</f>
        <v>0</v>
      </c>
    </row>
    <row r="192" spans="1:23" ht="28">
      <c r="A192" s="47" t="s">
        <v>596</v>
      </c>
      <c r="B192" s="47" t="s">
        <v>65</v>
      </c>
      <c r="C192" s="49" t="s">
        <v>587</v>
      </c>
      <c r="D192" s="52" t="s">
        <v>588</v>
      </c>
      <c r="E192" s="49" t="s">
        <v>589</v>
      </c>
      <c r="F192" s="52" t="s">
        <v>597</v>
      </c>
      <c r="G192" s="59" t="s">
        <v>109</v>
      </c>
      <c r="H192" s="53" t="b">
        <f ca="1">IFERROR(__xludf.DUMMYFUNCTION("if($G192="""",false, if(isna(match(H$2, split($G192:$G383,"", "",False),0)),false,true))"),FALSE)</f>
        <v>0</v>
      </c>
      <c r="I192" s="53" t="b">
        <f ca="1">IFERROR(__xludf.DUMMYFUNCTION("if($G192="""",false, if(isna(match(I$2, split($G192:$G383,"", "",False),0)),false,true))"),TRUE)</f>
        <v>1</v>
      </c>
      <c r="J192" s="53" t="b">
        <f ca="1">IFERROR(__xludf.DUMMYFUNCTION("if($G192="""",false, if(isna(match(J$2, split($G192:$G383,"", "",False),0)),false,true))"),FALSE)</f>
        <v>0</v>
      </c>
      <c r="K192" s="53" t="b">
        <f ca="1">IFERROR(__xludf.DUMMYFUNCTION("if($G192="""",false, if(isna(match(K$2, split($G192:$G383,"", "",False),0)),false,true))"),FALSE)</f>
        <v>0</v>
      </c>
      <c r="L192" s="53" t="b">
        <f ca="1">IFERROR(__xludf.DUMMYFUNCTION("if($G192="""",false, if(isna(match(L$2, split($G192:$G383,"", "",False),0)),false,true))"),FALSE)</f>
        <v>0</v>
      </c>
      <c r="M192" s="53" t="b">
        <f ca="1">IFERROR(__xludf.DUMMYFUNCTION("if($G192="""",false, if(isna(match(M$2, split($G192:$G383,"", "",False),0)),false,true))"),FALSE)</f>
        <v>0</v>
      </c>
      <c r="N192" s="53" t="b">
        <f ca="1">IFERROR(__xludf.DUMMYFUNCTION("if($G192="""",false, if(isna(match(N$2, split($G192:$G383,"", "",False),0)),false,true))"),FALSE)</f>
        <v>0</v>
      </c>
      <c r="O192" s="53" t="b">
        <f ca="1">IFERROR(__xludf.DUMMYFUNCTION("if($G192="""",false, if(isna(match(O$2, split($G192:$G383,"", "",False),0)),false,true))"),FALSE)</f>
        <v>0</v>
      </c>
      <c r="P192" s="53" t="b">
        <f ca="1">IFERROR(__xludf.DUMMYFUNCTION("if($G192="""",false, if(isna(match(P$2, split($G192:$G383,"", "",False),0)),false,true))"),FALSE)</f>
        <v>0</v>
      </c>
      <c r="Q192" s="53" t="b">
        <f ca="1">IFERROR(__xludf.DUMMYFUNCTION("if($G192="""",false, if(isna(match(Q$2, split($G192:$G383,"", "",False),0)),false,true))"),FALSE)</f>
        <v>0</v>
      </c>
      <c r="R192" s="53" t="b">
        <f ca="1">IFERROR(__xludf.DUMMYFUNCTION("if($G192="""",false, if(isna(match(R$2, split($G192:$G383,"", "",False),0)),false,true))"),FALSE)</f>
        <v>0</v>
      </c>
      <c r="S192" s="53" t="b">
        <f ca="1">IFERROR(__xludf.DUMMYFUNCTION("if($G192="""",false, if(isna(match(S$2, split($G192:$G383,"", "",False),0)),false,true))"),FALSE)</f>
        <v>0</v>
      </c>
      <c r="T192" s="53" t="b">
        <f ca="1">IFERROR(__xludf.DUMMYFUNCTION("if($G192="""",false, if(isna(match(T$2, split($G192:$G383,"", "",False),0)),false,true))"),FALSE)</f>
        <v>0</v>
      </c>
      <c r="U192" s="53" t="b">
        <f ca="1">IFERROR(__xludf.DUMMYFUNCTION("if($G192="""",false, if(isna(match(U$2, split($G192:$G383,"", "",False),0)),false,true))"),FALSE)</f>
        <v>0</v>
      </c>
      <c r="V192" s="53" t="b">
        <f ca="1">IFERROR(__xludf.DUMMYFUNCTION("if($G192="""",false, if(isna(match(V$2, split($G192:$G383,"", "",False),0)),false,true))"),FALSE)</f>
        <v>0</v>
      </c>
      <c r="W192" s="57" t="b">
        <f ca="1">IFERROR(__xludf.DUMMYFUNCTION("if($G192="""",false, if(isna(match(W$2, split($G192:$G383,"", "",False),0)),false,true))"),FALSE)</f>
        <v>0</v>
      </c>
    </row>
    <row r="193" spans="1:23" ht="56">
      <c r="A193" s="47" t="s">
        <v>598</v>
      </c>
      <c r="B193" s="47" t="s">
        <v>65</v>
      </c>
      <c r="C193" s="49" t="s">
        <v>587</v>
      </c>
      <c r="D193" s="52" t="s">
        <v>588</v>
      </c>
      <c r="E193" s="49" t="s">
        <v>589</v>
      </c>
      <c r="F193" s="52" t="s">
        <v>599</v>
      </c>
      <c r="G193" s="59" t="s">
        <v>109</v>
      </c>
      <c r="H193" s="53" t="b">
        <f ca="1">IFERROR(__xludf.DUMMYFUNCTION("if($G193="""",false, if(isna(match(H$2, split($G193:$G383,"", "",False),0)),false,true))"),FALSE)</f>
        <v>0</v>
      </c>
      <c r="I193" s="53" t="b">
        <f ca="1">IFERROR(__xludf.DUMMYFUNCTION("if($G193="""",false, if(isna(match(I$2, split($G193:$G383,"", "",False),0)),false,true))"),TRUE)</f>
        <v>1</v>
      </c>
      <c r="J193" s="53" t="b">
        <f ca="1">IFERROR(__xludf.DUMMYFUNCTION("if($G193="""",false, if(isna(match(J$2, split($G193:$G383,"", "",False),0)),false,true))"),FALSE)</f>
        <v>0</v>
      </c>
      <c r="K193" s="53" t="b">
        <f ca="1">IFERROR(__xludf.DUMMYFUNCTION("if($G193="""",false, if(isna(match(K$2, split($G193:$G383,"", "",False),0)),false,true))"),FALSE)</f>
        <v>0</v>
      </c>
      <c r="L193" s="53" t="b">
        <f ca="1">IFERROR(__xludf.DUMMYFUNCTION("if($G193="""",false, if(isna(match(L$2, split($G193:$G383,"", "",False),0)),false,true))"),FALSE)</f>
        <v>0</v>
      </c>
      <c r="M193" s="53" t="b">
        <f ca="1">IFERROR(__xludf.DUMMYFUNCTION("if($G193="""",false, if(isna(match(M$2, split($G193:$G383,"", "",False),0)),false,true))"),FALSE)</f>
        <v>0</v>
      </c>
      <c r="N193" s="53" t="b">
        <f ca="1">IFERROR(__xludf.DUMMYFUNCTION("if($G193="""",false, if(isna(match(N$2, split($G193:$G383,"", "",False),0)),false,true))"),FALSE)</f>
        <v>0</v>
      </c>
      <c r="O193" s="53" t="b">
        <f ca="1">IFERROR(__xludf.DUMMYFUNCTION("if($G193="""",false, if(isna(match(O$2, split($G193:$G383,"", "",False),0)),false,true))"),FALSE)</f>
        <v>0</v>
      </c>
      <c r="P193" s="53" t="b">
        <f ca="1">IFERROR(__xludf.DUMMYFUNCTION("if($G193="""",false, if(isna(match(P$2, split($G193:$G383,"", "",False),0)),false,true))"),FALSE)</f>
        <v>0</v>
      </c>
      <c r="Q193" s="53" t="b">
        <f ca="1">IFERROR(__xludf.DUMMYFUNCTION("if($G193="""",false, if(isna(match(Q$2, split($G193:$G383,"", "",False),0)),false,true))"),FALSE)</f>
        <v>0</v>
      </c>
      <c r="R193" s="53" t="b">
        <f ca="1">IFERROR(__xludf.DUMMYFUNCTION("if($G193="""",false, if(isna(match(R$2, split($G193:$G383,"", "",False),0)),false,true))"),FALSE)</f>
        <v>0</v>
      </c>
      <c r="S193" s="53" t="b">
        <f ca="1">IFERROR(__xludf.DUMMYFUNCTION("if($G193="""",false, if(isna(match(S$2, split($G193:$G383,"", "",False),0)),false,true))"),FALSE)</f>
        <v>0</v>
      </c>
      <c r="T193" s="53" t="b">
        <f ca="1">IFERROR(__xludf.DUMMYFUNCTION("if($G193="""",false, if(isna(match(T$2, split($G193:$G383,"", "",False),0)),false,true))"),FALSE)</f>
        <v>0</v>
      </c>
      <c r="U193" s="53" t="b">
        <f ca="1">IFERROR(__xludf.DUMMYFUNCTION("if($G193="""",false, if(isna(match(U$2, split($G193:$G383,"", "",False),0)),false,true))"),FALSE)</f>
        <v>0</v>
      </c>
      <c r="V193" s="53" t="b">
        <f ca="1">IFERROR(__xludf.DUMMYFUNCTION("if($G193="""",false, if(isna(match(V$2, split($G193:$G383,"", "",False),0)),false,true))"),FALSE)</f>
        <v>0</v>
      </c>
      <c r="W193" s="57" t="b">
        <f ca="1">IFERROR(__xludf.DUMMYFUNCTION("if($G193="""",false, if(isna(match(W$2, split($G193:$G383,"", "",False),0)),false,true))"),FALSE)</f>
        <v>0</v>
      </c>
    </row>
    <row r="194" spans="1:23" ht="98">
      <c r="A194" s="47" t="s">
        <v>600</v>
      </c>
      <c r="B194" s="47" t="s">
        <v>65</v>
      </c>
      <c r="C194" s="49" t="s">
        <v>587</v>
      </c>
      <c r="D194" s="52" t="s">
        <v>588</v>
      </c>
      <c r="E194" s="49" t="s">
        <v>601</v>
      </c>
      <c r="F194" s="52" t="s">
        <v>602</v>
      </c>
      <c r="G194" s="59" t="s">
        <v>109</v>
      </c>
      <c r="H194" s="53" t="b">
        <f ca="1">IFERROR(__xludf.DUMMYFUNCTION("if($G194="""",false, if(isna(match(H$2, split($G194:$G383,"", "",False),0)),false,true))"),FALSE)</f>
        <v>0</v>
      </c>
      <c r="I194" s="53" t="b">
        <f ca="1">IFERROR(__xludf.DUMMYFUNCTION("if($G194="""",false, if(isna(match(I$2, split($G194:$G383,"", "",False),0)),false,true))"),TRUE)</f>
        <v>1</v>
      </c>
      <c r="J194" s="53" t="b">
        <f ca="1">IFERROR(__xludf.DUMMYFUNCTION("if($G194="""",false, if(isna(match(J$2, split($G194:$G383,"", "",False),0)),false,true))"),FALSE)</f>
        <v>0</v>
      </c>
      <c r="K194" s="53" t="b">
        <f ca="1">IFERROR(__xludf.DUMMYFUNCTION("if($G194="""",false, if(isna(match(K$2, split($G194:$G383,"", "",False),0)),false,true))"),FALSE)</f>
        <v>0</v>
      </c>
      <c r="L194" s="53" t="b">
        <f ca="1">IFERROR(__xludf.DUMMYFUNCTION("if($G194="""",false, if(isna(match(L$2, split($G194:$G383,"", "",False),0)),false,true))"),FALSE)</f>
        <v>0</v>
      </c>
      <c r="M194" s="53" t="b">
        <f ca="1">IFERROR(__xludf.DUMMYFUNCTION("if($G194="""",false, if(isna(match(M$2, split($G194:$G383,"", "",False),0)),false,true))"),FALSE)</f>
        <v>0</v>
      </c>
      <c r="N194" s="53" t="b">
        <f ca="1">IFERROR(__xludf.DUMMYFUNCTION("if($G194="""",false, if(isna(match(N$2, split($G194:$G383,"", "",False),0)),false,true))"),FALSE)</f>
        <v>0</v>
      </c>
      <c r="O194" s="53" t="b">
        <f ca="1">IFERROR(__xludf.DUMMYFUNCTION("if($G194="""",false, if(isna(match(O$2, split($G194:$G383,"", "",False),0)),false,true))"),FALSE)</f>
        <v>0</v>
      </c>
      <c r="P194" s="53" t="b">
        <f ca="1">IFERROR(__xludf.DUMMYFUNCTION("if($G194="""",false, if(isna(match(P$2, split($G194:$G383,"", "",False),0)),false,true))"),FALSE)</f>
        <v>0</v>
      </c>
      <c r="Q194" s="53" t="b">
        <f ca="1">IFERROR(__xludf.DUMMYFUNCTION("if($G194="""",false, if(isna(match(Q$2, split($G194:$G383,"", "",False),0)),false,true))"),FALSE)</f>
        <v>0</v>
      </c>
      <c r="R194" s="53" t="b">
        <f ca="1">IFERROR(__xludf.DUMMYFUNCTION("if($G194="""",false, if(isna(match(R$2, split($G194:$G383,"", "",False),0)),false,true))"),FALSE)</f>
        <v>0</v>
      </c>
      <c r="S194" s="53" t="b">
        <f ca="1">IFERROR(__xludf.DUMMYFUNCTION("if($G194="""",false, if(isna(match(S$2, split($G194:$G383,"", "",False),0)),false,true))"),FALSE)</f>
        <v>0</v>
      </c>
      <c r="T194" s="53" t="b">
        <f ca="1">IFERROR(__xludf.DUMMYFUNCTION("if($G194="""",false, if(isna(match(T$2, split($G194:$G383,"", "",False),0)),false,true))"),FALSE)</f>
        <v>0</v>
      </c>
      <c r="U194" s="53" t="b">
        <f ca="1">IFERROR(__xludf.DUMMYFUNCTION("if($G194="""",false, if(isna(match(U$2, split($G194:$G383,"", "",False),0)),false,true))"),FALSE)</f>
        <v>0</v>
      </c>
      <c r="V194" s="53" t="b">
        <f ca="1">IFERROR(__xludf.DUMMYFUNCTION("if($G194="""",false, if(isna(match(V$2, split($G194:$G383,"", "",False),0)),false,true))"),FALSE)</f>
        <v>0</v>
      </c>
      <c r="W194" s="57" t="b">
        <f ca="1">IFERROR(__xludf.DUMMYFUNCTION("if($G194="""",false, if(isna(match(W$2, split($G194:$G383,"", "",False),0)),false,true))"),FALSE)</f>
        <v>0</v>
      </c>
    </row>
    <row r="195" spans="1:23" ht="56">
      <c r="A195" s="47" t="s">
        <v>603</v>
      </c>
      <c r="B195" s="47" t="s">
        <v>65</v>
      </c>
      <c r="C195" s="49" t="s">
        <v>587</v>
      </c>
      <c r="D195" s="52" t="s">
        <v>588</v>
      </c>
      <c r="E195" s="49" t="s">
        <v>604</v>
      </c>
      <c r="F195" s="52" t="s">
        <v>605</v>
      </c>
      <c r="G195" s="59"/>
      <c r="H195" s="53" t="b">
        <f ca="1">IFERROR(__xludf.DUMMYFUNCTION("if($G195="""",false, if(isna(match(H$2, split($G195:$G383,"", "",False),0)),false,true))"),FALSE)</f>
        <v>0</v>
      </c>
      <c r="I195" s="53" t="b">
        <f ca="1">IFERROR(__xludf.DUMMYFUNCTION("if($G195="""",false, if(isna(match(I$2, split($G195:$G383,"", "",False),0)),false,true))"),FALSE)</f>
        <v>0</v>
      </c>
      <c r="J195" s="53" t="b">
        <f ca="1">IFERROR(__xludf.DUMMYFUNCTION("if($G195="""",false, if(isna(match(J$2, split($G195:$G383,"", "",False),0)),false,true))"),FALSE)</f>
        <v>0</v>
      </c>
      <c r="K195" s="53" t="b">
        <f ca="1">IFERROR(__xludf.DUMMYFUNCTION("if($G195="""",false, if(isna(match(K$2, split($G195:$G383,"", "",False),0)),false,true))"),FALSE)</f>
        <v>0</v>
      </c>
      <c r="L195" s="53" t="b">
        <f ca="1">IFERROR(__xludf.DUMMYFUNCTION("if($G195="""",false, if(isna(match(L$2, split($G195:$G383,"", "",False),0)),false,true))"),FALSE)</f>
        <v>0</v>
      </c>
      <c r="M195" s="53" t="b">
        <f ca="1">IFERROR(__xludf.DUMMYFUNCTION("if($G195="""",false, if(isna(match(M$2, split($G195:$G383,"", "",False),0)),false,true))"),FALSE)</f>
        <v>0</v>
      </c>
      <c r="N195" s="53" t="b">
        <f ca="1">IFERROR(__xludf.DUMMYFUNCTION("if($G195="""",false, if(isna(match(N$2, split($G195:$G383,"", "",False),0)),false,true))"),FALSE)</f>
        <v>0</v>
      </c>
      <c r="O195" s="53" t="b">
        <f ca="1">IFERROR(__xludf.DUMMYFUNCTION("if($G195="""",false, if(isna(match(O$2, split($G195:$G383,"", "",False),0)),false,true))"),FALSE)</f>
        <v>0</v>
      </c>
      <c r="P195" s="53" t="b">
        <f ca="1">IFERROR(__xludf.DUMMYFUNCTION("if($G195="""",false, if(isna(match(P$2, split($G195:$G383,"", "",False),0)),false,true))"),FALSE)</f>
        <v>0</v>
      </c>
      <c r="Q195" s="53" t="b">
        <f ca="1">IFERROR(__xludf.DUMMYFUNCTION("if($G195="""",false, if(isna(match(Q$2, split($G195:$G383,"", "",False),0)),false,true))"),FALSE)</f>
        <v>0</v>
      </c>
      <c r="R195" s="53" t="b">
        <f ca="1">IFERROR(__xludf.DUMMYFUNCTION("if($G195="""",false, if(isna(match(R$2, split($G195:$G383,"", "",False),0)),false,true))"),FALSE)</f>
        <v>0</v>
      </c>
      <c r="S195" s="53" t="b">
        <f ca="1">IFERROR(__xludf.DUMMYFUNCTION("if($G195="""",false, if(isna(match(S$2, split($G195:$G383,"", "",False),0)),false,true))"),FALSE)</f>
        <v>0</v>
      </c>
      <c r="T195" s="53" t="b">
        <f ca="1">IFERROR(__xludf.DUMMYFUNCTION("if($G195="""",false, if(isna(match(T$2, split($G195:$G383,"", "",False),0)),false,true))"),FALSE)</f>
        <v>0</v>
      </c>
      <c r="U195" s="53" t="b">
        <f ca="1">IFERROR(__xludf.DUMMYFUNCTION("if($G195="""",false, if(isna(match(U$2, split($G195:$G383,"", "",False),0)),false,true))"),FALSE)</f>
        <v>0</v>
      </c>
      <c r="V195" s="53" t="b">
        <f ca="1">IFERROR(__xludf.DUMMYFUNCTION("if($G195="""",false, if(isna(match(V$2, split($G195:$G383,"", "",False),0)),false,true))"),FALSE)</f>
        <v>0</v>
      </c>
      <c r="W195" s="57" t="b">
        <f ca="1">IFERROR(__xludf.DUMMYFUNCTION("if($G195="""",false, if(isna(match(W$2, split($G195:$G383,"", "",False),0)),false,true))"),FALSE)</f>
        <v>0</v>
      </c>
    </row>
    <row r="196" spans="1:23" ht="84">
      <c r="A196" s="47" t="s">
        <v>606</v>
      </c>
      <c r="B196" s="47" t="s">
        <v>65</v>
      </c>
      <c r="C196" s="49" t="s">
        <v>587</v>
      </c>
      <c r="D196" s="52" t="s">
        <v>588</v>
      </c>
      <c r="E196" s="49" t="s">
        <v>607</v>
      </c>
      <c r="F196" s="52" t="s">
        <v>608</v>
      </c>
      <c r="G196" s="59" t="s">
        <v>109</v>
      </c>
      <c r="H196" s="53" t="b">
        <f ca="1">IFERROR(__xludf.DUMMYFUNCTION("if($G196="""",false, if(isna(match(H$2, split($G196:$G383,"", "",False),0)),false,true))"),FALSE)</f>
        <v>0</v>
      </c>
      <c r="I196" s="53" t="b">
        <f ca="1">IFERROR(__xludf.DUMMYFUNCTION("if($G196="""",false, if(isna(match(I$2, split($G196:$G383,"", "",False),0)),false,true))"),TRUE)</f>
        <v>1</v>
      </c>
      <c r="J196" s="53" t="b">
        <f ca="1">IFERROR(__xludf.DUMMYFUNCTION("if($G196="""",false, if(isna(match(J$2, split($G196:$G383,"", "",False),0)),false,true))"),FALSE)</f>
        <v>0</v>
      </c>
      <c r="K196" s="53" t="b">
        <f ca="1">IFERROR(__xludf.DUMMYFUNCTION("if($G196="""",false, if(isna(match(K$2, split($G196:$G383,"", "",False),0)),false,true))"),FALSE)</f>
        <v>0</v>
      </c>
      <c r="L196" s="53" t="b">
        <f ca="1">IFERROR(__xludf.DUMMYFUNCTION("if($G196="""",false, if(isna(match(L$2, split($G196:$G383,"", "",False),0)),false,true))"),FALSE)</f>
        <v>0</v>
      </c>
      <c r="M196" s="53" t="b">
        <f ca="1">IFERROR(__xludf.DUMMYFUNCTION("if($G196="""",false, if(isna(match(M$2, split($G196:$G383,"", "",False),0)),false,true))"),FALSE)</f>
        <v>0</v>
      </c>
      <c r="N196" s="53" t="b">
        <f ca="1">IFERROR(__xludf.DUMMYFUNCTION("if($G196="""",false, if(isna(match(N$2, split($G196:$G383,"", "",False),0)),false,true))"),FALSE)</f>
        <v>0</v>
      </c>
      <c r="O196" s="53" t="b">
        <f ca="1">IFERROR(__xludf.DUMMYFUNCTION("if($G196="""",false, if(isna(match(O$2, split($G196:$G383,"", "",False),0)),false,true))"),FALSE)</f>
        <v>0</v>
      </c>
      <c r="P196" s="53" t="b">
        <f ca="1">IFERROR(__xludf.DUMMYFUNCTION("if($G196="""",false, if(isna(match(P$2, split($G196:$G383,"", "",False),0)),false,true))"),FALSE)</f>
        <v>0</v>
      </c>
      <c r="Q196" s="53" t="b">
        <f ca="1">IFERROR(__xludf.DUMMYFUNCTION("if($G196="""",false, if(isna(match(Q$2, split($G196:$G383,"", "",False),0)),false,true))"),FALSE)</f>
        <v>0</v>
      </c>
      <c r="R196" s="53" t="b">
        <f ca="1">IFERROR(__xludf.DUMMYFUNCTION("if($G196="""",false, if(isna(match(R$2, split($G196:$G383,"", "",False),0)),false,true))"),FALSE)</f>
        <v>0</v>
      </c>
      <c r="S196" s="53" t="b">
        <f ca="1">IFERROR(__xludf.DUMMYFUNCTION("if($G196="""",false, if(isna(match(S$2, split($G196:$G383,"", "",False),0)),false,true))"),FALSE)</f>
        <v>0</v>
      </c>
      <c r="T196" s="53" t="b">
        <f ca="1">IFERROR(__xludf.DUMMYFUNCTION("if($G196="""",false, if(isna(match(T$2, split($G196:$G383,"", "",False),0)),false,true))"),FALSE)</f>
        <v>0</v>
      </c>
      <c r="U196" s="53" t="b">
        <f ca="1">IFERROR(__xludf.DUMMYFUNCTION("if($G196="""",false, if(isna(match(U$2, split($G196:$G383,"", "",False),0)),false,true))"),FALSE)</f>
        <v>0</v>
      </c>
      <c r="V196" s="53" t="b">
        <f ca="1">IFERROR(__xludf.DUMMYFUNCTION("if($G196="""",false, if(isna(match(V$2, split($G196:$G383,"", "",False),0)),false,true))"),FALSE)</f>
        <v>0</v>
      </c>
      <c r="W196" s="57" t="b">
        <f ca="1">IFERROR(__xludf.DUMMYFUNCTION("if($G196="""",false, if(isna(match(W$2, split($G196:$G383,"", "",False),0)),false,true))"),FALSE)</f>
        <v>0</v>
      </c>
    </row>
    <row r="197" spans="1:23" ht="112">
      <c r="A197" s="47" t="s">
        <v>609</v>
      </c>
      <c r="B197" s="47" t="s">
        <v>65</v>
      </c>
      <c r="C197" s="49" t="s">
        <v>587</v>
      </c>
      <c r="D197" s="52" t="s">
        <v>588</v>
      </c>
      <c r="E197" s="49" t="s">
        <v>607</v>
      </c>
      <c r="F197" s="52" t="s">
        <v>610</v>
      </c>
      <c r="G197" s="59" t="s">
        <v>109</v>
      </c>
      <c r="H197" s="53" t="b">
        <f ca="1">IFERROR(__xludf.DUMMYFUNCTION("if($G197="""",false, if(isna(match(H$2, split($G197:$G383,"", "",False),0)),false,true))"),FALSE)</f>
        <v>0</v>
      </c>
      <c r="I197" s="53" t="b">
        <f ca="1">IFERROR(__xludf.DUMMYFUNCTION("if($G197="""",false, if(isna(match(I$2, split($G197:$G383,"", "",False),0)),false,true))"),TRUE)</f>
        <v>1</v>
      </c>
      <c r="J197" s="53" t="b">
        <f ca="1">IFERROR(__xludf.DUMMYFUNCTION("if($G197="""",false, if(isna(match(J$2, split($G197:$G383,"", "",False),0)),false,true))"),FALSE)</f>
        <v>0</v>
      </c>
      <c r="K197" s="53" t="b">
        <f ca="1">IFERROR(__xludf.DUMMYFUNCTION("if($G197="""",false, if(isna(match(K$2, split($G197:$G383,"", "",False),0)),false,true))"),FALSE)</f>
        <v>0</v>
      </c>
      <c r="L197" s="53" t="b">
        <f ca="1">IFERROR(__xludf.DUMMYFUNCTION("if($G197="""",false, if(isna(match(L$2, split($G197:$G383,"", "",False),0)),false,true))"),FALSE)</f>
        <v>0</v>
      </c>
      <c r="M197" s="53" t="b">
        <f ca="1">IFERROR(__xludf.DUMMYFUNCTION("if($G197="""",false, if(isna(match(M$2, split($G197:$G383,"", "",False),0)),false,true))"),FALSE)</f>
        <v>0</v>
      </c>
      <c r="N197" s="53" t="b">
        <f ca="1">IFERROR(__xludf.DUMMYFUNCTION("if($G197="""",false, if(isna(match(N$2, split($G197:$G383,"", "",False),0)),false,true))"),FALSE)</f>
        <v>0</v>
      </c>
      <c r="O197" s="53" t="b">
        <f ca="1">IFERROR(__xludf.DUMMYFUNCTION("if($G197="""",false, if(isna(match(O$2, split($G197:$G383,"", "",False),0)),false,true))"),FALSE)</f>
        <v>0</v>
      </c>
      <c r="P197" s="53" t="b">
        <f ca="1">IFERROR(__xludf.DUMMYFUNCTION("if($G197="""",false, if(isna(match(P$2, split($G197:$G383,"", "",False),0)),false,true))"),FALSE)</f>
        <v>0</v>
      </c>
      <c r="Q197" s="53" t="b">
        <f ca="1">IFERROR(__xludf.DUMMYFUNCTION("if($G197="""",false, if(isna(match(Q$2, split($G197:$G383,"", "",False),0)),false,true))"),FALSE)</f>
        <v>0</v>
      </c>
      <c r="R197" s="53" t="b">
        <f ca="1">IFERROR(__xludf.DUMMYFUNCTION("if($G197="""",false, if(isna(match(R$2, split($G197:$G383,"", "",False),0)),false,true))"),FALSE)</f>
        <v>0</v>
      </c>
      <c r="S197" s="53" t="b">
        <f ca="1">IFERROR(__xludf.DUMMYFUNCTION("if($G197="""",false, if(isna(match(S$2, split($G197:$G383,"", "",False),0)),false,true))"),FALSE)</f>
        <v>0</v>
      </c>
      <c r="T197" s="53" t="b">
        <f ca="1">IFERROR(__xludf.DUMMYFUNCTION("if($G197="""",false, if(isna(match(T$2, split($G197:$G383,"", "",False),0)),false,true))"),FALSE)</f>
        <v>0</v>
      </c>
      <c r="U197" s="53" t="b">
        <f ca="1">IFERROR(__xludf.DUMMYFUNCTION("if($G197="""",false, if(isna(match(U$2, split($G197:$G383,"", "",False),0)),false,true))"),FALSE)</f>
        <v>0</v>
      </c>
      <c r="V197" s="53" t="b">
        <f ca="1">IFERROR(__xludf.DUMMYFUNCTION("if($G197="""",false, if(isna(match(V$2, split($G197:$G383,"", "",False),0)),false,true))"),FALSE)</f>
        <v>0</v>
      </c>
      <c r="W197" s="57" t="b">
        <f ca="1">IFERROR(__xludf.DUMMYFUNCTION("if($G197="""",false, if(isna(match(W$2, split($G197:$G383,"", "",False),0)),false,true))"),FALSE)</f>
        <v>0</v>
      </c>
    </row>
    <row r="198" spans="1:23" ht="28">
      <c r="A198" s="47" t="s">
        <v>611</v>
      </c>
      <c r="B198" s="47" t="s">
        <v>65</v>
      </c>
      <c r="C198" s="49" t="s">
        <v>587</v>
      </c>
      <c r="D198" s="52" t="s">
        <v>588</v>
      </c>
      <c r="E198" s="49" t="s">
        <v>612</v>
      </c>
      <c r="F198" s="52" t="s">
        <v>613</v>
      </c>
      <c r="G198" s="59" t="s">
        <v>328</v>
      </c>
      <c r="H198" s="53" t="b">
        <f ca="1">IFERROR(__xludf.DUMMYFUNCTION("if($G198="""",false, if(isna(match(H$2, split($G198:$G383,"", "",False),0)),false,true))"),FALSE)</f>
        <v>0</v>
      </c>
      <c r="I198" s="53" t="b">
        <f ca="1">IFERROR(__xludf.DUMMYFUNCTION("if($G198="""",false, if(isna(match(I$2, split($G198:$G383,"", "",False),0)),false,true))"),FALSE)</f>
        <v>0</v>
      </c>
      <c r="J198" s="53" t="b">
        <f ca="1">IFERROR(__xludf.DUMMYFUNCTION("if($G198="""",false, if(isna(match(J$2, split($G198:$G383,"", "",False),0)),false,true))"),FALSE)</f>
        <v>0</v>
      </c>
      <c r="K198" s="53" t="b">
        <f ca="1">IFERROR(__xludf.DUMMYFUNCTION("if($G198="""",false, if(isna(match(K$2, split($G198:$G383,"", "",False),0)),false,true))"),FALSE)</f>
        <v>0</v>
      </c>
      <c r="L198" s="53" t="b">
        <f ca="1">IFERROR(__xludf.DUMMYFUNCTION("if($G198="""",false, if(isna(match(L$2, split($G198:$G383,"", "",False),0)),false,true))"),FALSE)</f>
        <v>0</v>
      </c>
      <c r="M198" s="53" t="b">
        <f ca="1">IFERROR(__xludf.DUMMYFUNCTION("if($G198="""",false, if(isna(match(M$2, split($G198:$G383,"", "",False),0)),false,true))"),FALSE)</f>
        <v>0</v>
      </c>
      <c r="N198" s="53" t="b">
        <f ca="1">IFERROR(__xludf.DUMMYFUNCTION("if($G198="""",false, if(isna(match(N$2, split($G198:$G383,"", "",False),0)),false,true))"),FALSE)</f>
        <v>0</v>
      </c>
      <c r="O198" s="53" t="b">
        <f ca="1">IFERROR(__xludf.DUMMYFUNCTION("if($G198="""",false, if(isna(match(O$2, split($G198:$G383,"", "",False),0)),false,true))"),FALSE)</f>
        <v>0</v>
      </c>
      <c r="P198" s="53" t="b">
        <f ca="1">IFERROR(__xludf.DUMMYFUNCTION("if($G198="""",false, if(isna(match(P$2, split($G198:$G383,"", "",False),0)),false,true))"),FALSE)</f>
        <v>0</v>
      </c>
      <c r="Q198" s="53" t="b">
        <f ca="1">IFERROR(__xludf.DUMMYFUNCTION("if($G198="""",false, if(isna(match(Q$2, split($G198:$G383,"", "",False),0)),false,true))"),FALSE)</f>
        <v>0</v>
      </c>
      <c r="R198" s="53" t="b">
        <f ca="1">IFERROR(__xludf.DUMMYFUNCTION("if($G198="""",false, if(isna(match(R$2, split($G198:$G383,"", "",False),0)),false,true))"),FALSE)</f>
        <v>0</v>
      </c>
      <c r="S198" s="53" t="b">
        <f ca="1">IFERROR(__xludf.DUMMYFUNCTION("if($G198="""",false, if(isna(match(S$2, split($G198:$G383,"", "",False),0)),false,true))"),FALSE)</f>
        <v>0</v>
      </c>
      <c r="T198" s="53" t="b">
        <f ca="1">IFERROR(__xludf.DUMMYFUNCTION("if($G198="""",false, if(isna(match(T$2, split($G198:$G383,"", "",False),0)),false,true))"),FALSE)</f>
        <v>0</v>
      </c>
      <c r="U198" s="53" t="b">
        <f ca="1">IFERROR(__xludf.DUMMYFUNCTION("if($G198="""",false, if(isna(match(U$2, split($G198:$G383,"", "",False),0)),false,true))"),FALSE)</f>
        <v>0</v>
      </c>
      <c r="V198" s="53" t="b">
        <f ca="1">IFERROR(__xludf.DUMMYFUNCTION("if($G198="""",false, if(isna(match(V$2, split($G198:$G383,"", "",False),0)),false,true))"),FALSE)</f>
        <v>0</v>
      </c>
      <c r="W198" s="57" t="b">
        <f ca="1">IFERROR(__xludf.DUMMYFUNCTION("if($G198="""",false, if(isna(match(W$2, split($G198:$G383,"", "",False),0)),false,true))"),FALSE)</f>
        <v>0</v>
      </c>
    </row>
    <row r="199" spans="1:23" ht="28">
      <c r="A199" s="47" t="s">
        <v>614</v>
      </c>
      <c r="B199" s="47" t="s">
        <v>65</v>
      </c>
      <c r="C199" s="49" t="s">
        <v>587</v>
      </c>
      <c r="D199" s="52" t="s">
        <v>588</v>
      </c>
      <c r="E199" s="49" t="s">
        <v>612</v>
      </c>
      <c r="F199" s="52" t="s">
        <v>615</v>
      </c>
      <c r="G199" s="59" t="s">
        <v>328</v>
      </c>
      <c r="H199" s="53" t="b">
        <f ca="1">IFERROR(__xludf.DUMMYFUNCTION("if($G199="""",false, if(isna(match(H$2, split($G199:$G383,"", "",False),0)),false,true))"),FALSE)</f>
        <v>0</v>
      </c>
      <c r="I199" s="53" t="b">
        <f ca="1">IFERROR(__xludf.DUMMYFUNCTION("if($G199="""",false, if(isna(match(I$2, split($G199:$G383,"", "",False),0)),false,true))"),FALSE)</f>
        <v>0</v>
      </c>
      <c r="J199" s="53" t="b">
        <f ca="1">IFERROR(__xludf.DUMMYFUNCTION("if($G199="""",false, if(isna(match(J$2, split($G199:$G383,"", "",False),0)),false,true))"),FALSE)</f>
        <v>0</v>
      </c>
      <c r="K199" s="53" t="b">
        <f ca="1">IFERROR(__xludf.DUMMYFUNCTION("if($G199="""",false, if(isna(match(K$2, split($G199:$G383,"", "",False),0)),false,true))"),FALSE)</f>
        <v>0</v>
      </c>
      <c r="L199" s="53" t="b">
        <f ca="1">IFERROR(__xludf.DUMMYFUNCTION("if($G199="""",false, if(isna(match(L$2, split($G199:$G383,"", "",False),0)),false,true))"),FALSE)</f>
        <v>0</v>
      </c>
      <c r="M199" s="53" t="b">
        <f ca="1">IFERROR(__xludf.DUMMYFUNCTION("if($G199="""",false, if(isna(match(M$2, split($G199:$G383,"", "",False),0)),false,true))"),FALSE)</f>
        <v>0</v>
      </c>
      <c r="N199" s="53" t="b">
        <f ca="1">IFERROR(__xludf.DUMMYFUNCTION("if($G199="""",false, if(isna(match(N$2, split($G199:$G383,"", "",False),0)),false,true))"),FALSE)</f>
        <v>0</v>
      </c>
      <c r="O199" s="53" t="b">
        <f ca="1">IFERROR(__xludf.DUMMYFUNCTION("if($G199="""",false, if(isna(match(O$2, split($G199:$G383,"", "",False),0)),false,true))"),FALSE)</f>
        <v>0</v>
      </c>
      <c r="P199" s="53" t="b">
        <f ca="1">IFERROR(__xludf.DUMMYFUNCTION("if($G199="""",false, if(isna(match(P$2, split($G199:$G383,"", "",False),0)),false,true))"),FALSE)</f>
        <v>0</v>
      </c>
      <c r="Q199" s="53" t="b">
        <f ca="1">IFERROR(__xludf.DUMMYFUNCTION("if($G199="""",false, if(isna(match(Q$2, split($G199:$G383,"", "",False),0)),false,true))"),FALSE)</f>
        <v>0</v>
      </c>
      <c r="R199" s="53" t="b">
        <f ca="1">IFERROR(__xludf.DUMMYFUNCTION("if($G199="""",false, if(isna(match(R$2, split($G199:$G383,"", "",False),0)),false,true))"),FALSE)</f>
        <v>0</v>
      </c>
      <c r="S199" s="53" t="b">
        <f ca="1">IFERROR(__xludf.DUMMYFUNCTION("if($G199="""",false, if(isna(match(S$2, split($G199:$G383,"", "",False),0)),false,true))"),FALSE)</f>
        <v>0</v>
      </c>
      <c r="T199" s="53" t="b">
        <f ca="1">IFERROR(__xludf.DUMMYFUNCTION("if($G199="""",false, if(isna(match(T$2, split($G199:$G383,"", "",False),0)),false,true))"),FALSE)</f>
        <v>0</v>
      </c>
      <c r="U199" s="53" t="b">
        <f ca="1">IFERROR(__xludf.DUMMYFUNCTION("if($G199="""",false, if(isna(match(U$2, split($G199:$G383,"", "",False),0)),false,true))"),FALSE)</f>
        <v>0</v>
      </c>
      <c r="V199" s="53" t="b">
        <f ca="1">IFERROR(__xludf.DUMMYFUNCTION("if($G199="""",false, if(isna(match(V$2, split($G199:$G383,"", "",False),0)),false,true))"),FALSE)</f>
        <v>0</v>
      </c>
      <c r="W199" s="57" t="b">
        <f ca="1">IFERROR(__xludf.DUMMYFUNCTION("if($G199="""",false, if(isna(match(W$2, split($G199:$G383,"", "",False),0)),false,true))"),FALSE)</f>
        <v>0</v>
      </c>
    </row>
    <row r="200" spans="1:23" ht="70">
      <c r="A200" s="47" t="s">
        <v>616</v>
      </c>
      <c r="B200" s="47" t="s">
        <v>65</v>
      </c>
      <c r="C200" s="49" t="s">
        <v>587</v>
      </c>
      <c r="D200" s="52" t="s">
        <v>617</v>
      </c>
      <c r="E200" s="49" t="s">
        <v>618</v>
      </c>
      <c r="F200" s="52" t="s">
        <v>619</v>
      </c>
      <c r="G200" s="59" t="s">
        <v>116</v>
      </c>
      <c r="H200" s="53" t="b">
        <f ca="1">IFERROR(__xludf.DUMMYFUNCTION("if($G200="""",false, if(isna(match(H$2, split($G200:$G383,"", "",False),0)),false,true))"),FALSE)</f>
        <v>0</v>
      </c>
      <c r="I200" s="53" t="b">
        <f ca="1">IFERROR(__xludf.DUMMYFUNCTION("if($G200="""",false, if(isna(match(I$2, split($G200:$G383,"", "",False),0)),false,true))"),FALSE)</f>
        <v>0</v>
      </c>
      <c r="J200" s="53" t="b">
        <f ca="1">IFERROR(__xludf.DUMMYFUNCTION("if($G200="""",false, if(isna(match(J$2, split($G200:$G383,"", "",False),0)),false,true))"),FALSE)</f>
        <v>0</v>
      </c>
      <c r="K200" s="53" t="b">
        <f ca="1">IFERROR(__xludf.DUMMYFUNCTION("if($G200="""",false, if(isna(match(K$2, split($G200:$G383,"", "",False),0)),false,true))"),FALSE)</f>
        <v>0</v>
      </c>
      <c r="L200" s="53" t="b">
        <f ca="1">IFERROR(__xludf.DUMMYFUNCTION("if($G200="""",false, if(isna(match(L$2, split($G200:$G383,"", "",False),0)),false,true))"),FALSE)</f>
        <v>0</v>
      </c>
      <c r="M200" s="53" t="b">
        <f ca="1">IFERROR(__xludf.DUMMYFUNCTION("if($G200="""",false, if(isna(match(M$2, split($G200:$G383,"", "",False),0)),false,true))"),FALSE)</f>
        <v>0</v>
      </c>
      <c r="N200" s="53" t="b">
        <f ca="1">IFERROR(__xludf.DUMMYFUNCTION("if($G200="""",false, if(isna(match(N$2, split($G200:$G383,"", "",False),0)),false,true))"),FALSE)</f>
        <v>0</v>
      </c>
      <c r="O200" s="53" t="b">
        <f ca="1">IFERROR(__xludf.DUMMYFUNCTION("if($G200="""",false, if(isna(match(O$2, split($G200:$G383,"", "",False),0)),false,true))"),FALSE)</f>
        <v>0</v>
      </c>
      <c r="P200" s="53" t="b">
        <f ca="1">IFERROR(__xludf.DUMMYFUNCTION("if($G200="""",false, if(isna(match(P$2, split($G200:$G383,"", "",False),0)),false,true))"),TRUE)</f>
        <v>1</v>
      </c>
      <c r="Q200" s="53" t="b">
        <f ca="1">IFERROR(__xludf.DUMMYFUNCTION("if($G200="""",false, if(isna(match(Q$2, split($G200:$G383,"", "",False),0)),false,true))"),FALSE)</f>
        <v>0</v>
      </c>
      <c r="R200" s="53" t="b">
        <f ca="1">IFERROR(__xludf.DUMMYFUNCTION("if($G200="""",false, if(isna(match(R$2, split($G200:$G383,"", "",False),0)),false,true))"),FALSE)</f>
        <v>0</v>
      </c>
      <c r="S200" s="53" t="b">
        <f ca="1">IFERROR(__xludf.DUMMYFUNCTION("if($G200="""",false, if(isna(match(S$2, split($G200:$G383,"", "",False),0)),false,true))"),FALSE)</f>
        <v>0</v>
      </c>
      <c r="T200" s="53" t="b">
        <f ca="1">IFERROR(__xludf.DUMMYFUNCTION("if($G200="""",false, if(isna(match(T$2, split($G200:$G383,"", "",False),0)),false,true))"),FALSE)</f>
        <v>0</v>
      </c>
      <c r="U200" s="53" t="b">
        <f ca="1">IFERROR(__xludf.DUMMYFUNCTION("if($G200="""",false, if(isna(match(U$2, split($G200:$G383,"", "",False),0)),false,true))"),FALSE)</f>
        <v>0</v>
      </c>
      <c r="V200" s="53" t="b">
        <f ca="1">IFERROR(__xludf.DUMMYFUNCTION("if($G200="""",false, if(isna(match(V$2, split($G200:$G383,"", "",False),0)),false,true))"),FALSE)</f>
        <v>0</v>
      </c>
      <c r="W200" s="57" t="b">
        <f ca="1">IFERROR(__xludf.DUMMYFUNCTION("if($G200="""",false, if(isna(match(W$2, split($G200:$G383,"", "",False),0)),false,true))"),FALSE)</f>
        <v>0</v>
      </c>
    </row>
    <row r="201" spans="1:23" ht="28">
      <c r="A201" s="47" t="s">
        <v>620</v>
      </c>
      <c r="B201" s="47" t="s">
        <v>65</v>
      </c>
      <c r="C201" s="49" t="s">
        <v>587</v>
      </c>
      <c r="D201" s="52" t="s">
        <v>617</v>
      </c>
      <c r="E201" s="49" t="s">
        <v>618</v>
      </c>
      <c r="F201" s="52" t="s">
        <v>621</v>
      </c>
      <c r="G201" s="59" t="s">
        <v>116</v>
      </c>
      <c r="H201" s="53" t="b">
        <f ca="1">IFERROR(__xludf.DUMMYFUNCTION("if($G201="""",false, if(isna(match(H$2, split($G201:$G383,"", "",False),0)),false,true))"),FALSE)</f>
        <v>0</v>
      </c>
      <c r="I201" s="53" t="b">
        <f ca="1">IFERROR(__xludf.DUMMYFUNCTION("if($G201="""",false, if(isna(match(I$2, split($G201:$G383,"", "",False),0)),false,true))"),FALSE)</f>
        <v>0</v>
      </c>
      <c r="J201" s="53" t="b">
        <f ca="1">IFERROR(__xludf.DUMMYFUNCTION("if($G201="""",false, if(isna(match(J$2, split($G201:$G383,"", "",False),0)),false,true))"),FALSE)</f>
        <v>0</v>
      </c>
      <c r="K201" s="53" t="b">
        <f ca="1">IFERROR(__xludf.DUMMYFUNCTION("if($G201="""",false, if(isna(match(K$2, split($G201:$G383,"", "",False),0)),false,true))"),FALSE)</f>
        <v>0</v>
      </c>
      <c r="L201" s="53" t="b">
        <f ca="1">IFERROR(__xludf.DUMMYFUNCTION("if($G201="""",false, if(isna(match(L$2, split($G201:$G383,"", "",False),0)),false,true))"),FALSE)</f>
        <v>0</v>
      </c>
      <c r="M201" s="53" t="b">
        <f ca="1">IFERROR(__xludf.DUMMYFUNCTION("if($G201="""",false, if(isna(match(M$2, split($G201:$G383,"", "",False),0)),false,true))"),FALSE)</f>
        <v>0</v>
      </c>
      <c r="N201" s="53" t="b">
        <f ca="1">IFERROR(__xludf.DUMMYFUNCTION("if($G201="""",false, if(isna(match(N$2, split($G201:$G383,"", "",False),0)),false,true))"),FALSE)</f>
        <v>0</v>
      </c>
      <c r="O201" s="53" t="b">
        <f ca="1">IFERROR(__xludf.DUMMYFUNCTION("if($G201="""",false, if(isna(match(O$2, split($G201:$G383,"", "",False),0)),false,true))"),FALSE)</f>
        <v>0</v>
      </c>
      <c r="P201" s="53" t="b">
        <f ca="1">IFERROR(__xludf.DUMMYFUNCTION("if($G201="""",false, if(isna(match(P$2, split($G201:$G383,"", "",False),0)),false,true))"),TRUE)</f>
        <v>1</v>
      </c>
      <c r="Q201" s="53" t="b">
        <f ca="1">IFERROR(__xludf.DUMMYFUNCTION("if($G201="""",false, if(isna(match(Q$2, split($G201:$G383,"", "",False),0)),false,true))"),FALSE)</f>
        <v>0</v>
      </c>
      <c r="R201" s="53" t="b">
        <f ca="1">IFERROR(__xludf.DUMMYFUNCTION("if($G201="""",false, if(isna(match(R$2, split($G201:$G383,"", "",False),0)),false,true))"),FALSE)</f>
        <v>0</v>
      </c>
      <c r="S201" s="53" t="b">
        <f ca="1">IFERROR(__xludf.DUMMYFUNCTION("if($G201="""",false, if(isna(match(S$2, split($G201:$G383,"", "",False),0)),false,true))"),FALSE)</f>
        <v>0</v>
      </c>
      <c r="T201" s="53" t="b">
        <f ca="1">IFERROR(__xludf.DUMMYFUNCTION("if($G201="""",false, if(isna(match(T$2, split($G201:$G383,"", "",False),0)),false,true))"),FALSE)</f>
        <v>0</v>
      </c>
      <c r="U201" s="53" t="b">
        <f ca="1">IFERROR(__xludf.DUMMYFUNCTION("if($G201="""",false, if(isna(match(U$2, split($G201:$G383,"", "",False),0)),false,true))"),FALSE)</f>
        <v>0</v>
      </c>
      <c r="V201" s="53" t="b">
        <f ca="1">IFERROR(__xludf.DUMMYFUNCTION("if($G201="""",false, if(isna(match(V$2, split($G201:$G383,"", "",False),0)),false,true))"),FALSE)</f>
        <v>0</v>
      </c>
      <c r="W201" s="57" t="b">
        <f ca="1">IFERROR(__xludf.DUMMYFUNCTION("if($G201="""",false, if(isna(match(W$2, split($G201:$G383,"", "",False),0)),false,true))"),FALSE)</f>
        <v>0</v>
      </c>
    </row>
    <row r="202" spans="1:23" ht="98">
      <c r="A202" s="47" t="s">
        <v>622</v>
      </c>
      <c r="B202" s="47" t="s">
        <v>65</v>
      </c>
      <c r="C202" s="49" t="s">
        <v>587</v>
      </c>
      <c r="D202" s="52" t="s">
        <v>617</v>
      </c>
      <c r="E202" s="49" t="s">
        <v>618</v>
      </c>
      <c r="F202" s="52" t="s">
        <v>623</v>
      </c>
      <c r="G202" s="59"/>
      <c r="H202" s="53" t="b">
        <f ca="1">IFERROR(__xludf.DUMMYFUNCTION("if($G202="""",false, if(isna(match(H$2, split($G202:$G383,"", "",False),0)),false,true))"),FALSE)</f>
        <v>0</v>
      </c>
      <c r="I202" s="53" t="b">
        <f ca="1">IFERROR(__xludf.DUMMYFUNCTION("if($G202="""",false, if(isna(match(I$2, split($G202:$G383,"", "",False),0)),false,true))"),FALSE)</f>
        <v>0</v>
      </c>
      <c r="J202" s="53" t="b">
        <f ca="1">IFERROR(__xludf.DUMMYFUNCTION("if($G202="""",false, if(isna(match(J$2, split($G202:$G383,"", "",False),0)),false,true))"),FALSE)</f>
        <v>0</v>
      </c>
      <c r="K202" s="53" t="b">
        <f ca="1">IFERROR(__xludf.DUMMYFUNCTION("if($G202="""",false, if(isna(match(K$2, split($G202:$G383,"", "",False),0)),false,true))"),FALSE)</f>
        <v>0</v>
      </c>
      <c r="L202" s="53" t="b">
        <f ca="1">IFERROR(__xludf.DUMMYFUNCTION("if($G202="""",false, if(isna(match(L$2, split($G202:$G383,"", "",False),0)),false,true))"),FALSE)</f>
        <v>0</v>
      </c>
      <c r="M202" s="53" t="b">
        <f ca="1">IFERROR(__xludf.DUMMYFUNCTION("if($G202="""",false, if(isna(match(M$2, split($G202:$G383,"", "",False),0)),false,true))"),FALSE)</f>
        <v>0</v>
      </c>
      <c r="N202" s="53" t="b">
        <f ca="1">IFERROR(__xludf.DUMMYFUNCTION("if($G202="""",false, if(isna(match(N$2, split($G202:$G383,"", "",False),0)),false,true))"),FALSE)</f>
        <v>0</v>
      </c>
      <c r="O202" s="53" t="b">
        <f ca="1">IFERROR(__xludf.DUMMYFUNCTION("if($G202="""",false, if(isna(match(O$2, split($G202:$G383,"", "",False),0)),false,true))"),FALSE)</f>
        <v>0</v>
      </c>
      <c r="P202" s="53" t="b">
        <f ca="1">IFERROR(__xludf.DUMMYFUNCTION("if($G202="""",false, if(isna(match(P$2, split($G202:$G383,"", "",False),0)),false,true))"),FALSE)</f>
        <v>0</v>
      </c>
      <c r="Q202" s="53" t="b">
        <f ca="1">IFERROR(__xludf.DUMMYFUNCTION("if($G202="""",false, if(isna(match(Q$2, split($G202:$G383,"", "",False),0)),false,true))"),FALSE)</f>
        <v>0</v>
      </c>
      <c r="R202" s="53" t="b">
        <f ca="1">IFERROR(__xludf.DUMMYFUNCTION("if($G202="""",false, if(isna(match(R$2, split($G202:$G383,"", "",False),0)),false,true))"),FALSE)</f>
        <v>0</v>
      </c>
      <c r="S202" s="53" t="b">
        <f ca="1">IFERROR(__xludf.DUMMYFUNCTION("if($G202="""",false, if(isna(match(S$2, split($G202:$G383,"", "",False),0)),false,true))"),FALSE)</f>
        <v>0</v>
      </c>
      <c r="T202" s="53" t="b">
        <f ca="1">IFERROR(__xludf.DUMMYFUNCTION("if($G202="""",false, if(isna(match(T$2, split($G202:$G383,"", "",False),0)),false,true))"),FALSE)</f>
        <v>0</v>
      </c>
      <c r="U202" s="53" t="b">
        <f ca="1">IFERROR(__xludf.DUMMYFUNCTION("if($G202="""",false, if(isna(match(U$2, split($G202:$G383,"", "",False),0)),false,true))"),FALSE)</f>
        <v>0</v>
      </c>
      <c r="V202" s="53" t="b">
        <f ca="1">IFERROR(__xludf.DUMMYFUNCTION("if($G202="""",false, if(isna(match(V$2, split($G202:$G383,"", "",False),0)),false,true))"),FALSE)</f>
        <v>0</v>
      </c>
      <c r="W202" s="57" t="b">
        <f ca="1">IFERROR(__xludf.DUMMYFUNCTION("if($G202="""",false, if(isna(match(W$2, split($G202:$G383,"", "",False),0)),false,true))"),FALSE)</f>
        <v>0</v>
      </c>
    </row>
    <row r="203" spans="1:23" ht="98">
      <c r="A203" s="47" t="s">
        <v>624</v>
      </c>
      <c r="B203" s="47" t="s">
        <v>65</v>
      </c>
      <c r="C203" s="49" t="s">
        <v>587</v>
      </c>
      <c r="D203" s="52" t="s">
        <v>617</v>
      </c>
      <c r="E203" s="49" t="s">
        <v>618</v>
      </c>
      <c r="F203" s="52" t="s">
        <v>625</v>
      </c>
      <c r="G203" s="59" t="s">
        <v>116</v>
      </c>
      <c r="H203" s="53" t="b">
        <f ca="1">IFERROR(__xludf.DUMMYFUNCTION("if($G203="""",false, if(isna(match(H$2, split($G203:$G383,"", "",False),0)),false,true))"),FALSE)</f>
        <v>0</v>
      </c>
      <c r="I203" s="53" t="b">
        <f ca="1">IFERROR(__xludf.DUMMYFUNCTION("if($G203="""",false, if(isna(match(I$2, split($G203:$G383,"", "",False),0)),false,true))"),FALSE)</f>
        <v>0</v>
      </c>
      <c r="J203" s="53" t="b">
        <f ca="1">IFERROR(__xludf.DUMMYFUNCTION("if($G203="""",false, if(isna(match(J$2, split($G203:$G383,"", "",False),0)),false,true))"),FALSE)</f>
        <v>0</v>
      </c>
      <c r="K203" s="53" t="b">
        <f ca="1">IFERROR(__xludf.DUMMYFUNCTION("if($G203="""",false, if(isna(match(K$2, split($G203:$G383,"", "",False),0)),false,true))"),FALSE)</f>
        <v>0</v>
      </c>
      <c r="L203" s="53" t="b">
        <f ca="1">IFERROR(__xludf.DUMMYFUNCTION("if($G203="""",false, if(isna(match(L$2, split($G203:$G383,"", "",False),0)),false,true))"),FALSE)</f>
        <v>0</v>
      </c>
      <c r="M203" s="53" t="b">
        <f ca="1">IFERROR(__xludf.DUMMYFUNCTION("if($G203="""",false, if(isna(match(M$2, split($G203:$G383,"", "",False),0)),false,true))"),FALSE)</f>
        <v>0</v>
      </c>
      <c r="N203" s="53" t="b">
        <f ca="1">IFERROR(__xludf.DUMMYFUNCTION("if($G203="""",false, if(isna(match(N$2, split($G203:$G383,"", "",False),0)),false,true))"),FALSE)</f>
        <v>0</v>
      </c>
      <c r="O203" s="53" t="b">
        <f ca="1">IFERROR(__xludf.DUMMYFUNCTION("if($G203="""",false, if(isna(match(O$2, split($G203:$G383,"", "",False),0)),false,true))"),FALSE)</f>
        <v>0</v>
      </c>
      <c r="P203" s="53" t="b">
        <f ca="1">IFERROR(__xludf.DUMMYFUNCTION("if($G203="""",false, if(isna(match(P$2, split($G203:$G383,"", "",False),0)),false,true))"),TRUE)</f>
        <v>1</v>
      </c>
      <c r="Q203" s="53" t="b">
        <f ca="1">IFERROR(__xludf.DUMMYFUNCTION("if($G203="""",false, if(isna(match(Q$2, split($G203:$G383,"", "",False),0)),false,true))"),FALSE)</f>
        <v>0</v>
      </c>
      <c r="R203" s="53" t="b">
        <f ca="1">IFERROR(__xludf.DUMMYFUNCTION("if($G203="""",false, if(isna(match(R$2, split($G203:$G383,"", "",False),0)),false,true))"),FALSE)</f>
        <v>0</v>
      </c>
      <c r="S203" s="53" t="b">
        <f ca="1">IFERROR(__xludf.DUMMYFUNCTION("if($G203="""",false, if(isna(match(S$2, split($G203:$G383,"", "",False),0)),false,true))"),FALSE)</f>
        <v>0</v>
      </c>
      <c r="T203" s="53" t="b">
        <f ca="1">IFERROR(__xludf.DUMMYFUNCTION("if($G203="""",false, if(isna(match(T$2, split($G203:$G383,"", "",False),0)),false,true))"),FALSE)</f>
        <v>0</v>
      </c>
      <c r="U203" s="53" t="b">
        <f ca="1">IFERROR(__xludf.DUMMYFUNCTION("if($G203="""",false, if(isna(match(U$2, split($G203:$G383,"", "",False),0)),false,true))"),FALSE)</f>
        <v>0</v>
      </c>
      <c r="V203" s="53" t="b">
        <f ca="1">IFERROR(__xludf.DUMMYFUNCTION("if($G203="""",false, if(isna(match(V$2, split($G203:$G383,"", "",False),0)),false,true))"),FALSE)</f>
        <v>0</v>
      </c>
      <c r="W203" s="57" t="b">
        <f ca="1">IFERROR(__xludf.DUMMYFUNCTION("if($G203="""",false, if(isna(match(W$2, split($G203:$G383,"", "",False),0)),false,true))"),FALSE)</f>
        <v>0</v>
      </c>
    </row>
    <row r="204" spans="1:23" ht="42">
      <c r="A204" s="47" t="s">
        <v>626</v>
      </c>
      <c r="B204" s="47" t="s">
        <v>65</v>
      </c>
      <c r="C204" s="49" t="s">
        <v>627</v>
      </c>
      <c r="D204" s="52" t="s">
        <v>628</v>
      </c>
      <c r="E204" s="49" t="s">
        <v>629</v>
      </c>
      <c r="F204" s="52" t="s">
        <v>630</v>
      </c>
      <c r="G204" s="59" t="s">
        <v>112</v>
      </c>
      <c r="H204" s="53" t="b">
        <f ca="1">IFERROR(__xludf.DUMMYFUNCTION("if($G204="""",false, if(isna(match(H$2, split($G204:$G383,"", "",False),0)),false,true))"),FALSE)</f>
        <v>0</v>
      </c>
      <c r="I204" s="53" t="b">
        <f ca="1">IFERROR(__xludf.DUMMYFUNCTION("if($G204="""",false, if(isna(match(I$2, split($G204:$G383,"", "",False),0)),false,true))"),FALSE)</f>
        <v>0</v>
      </c>
      <c r="J204" s="53" t="b">
        <f ca="1">IFERROR(__xludf.DUMMYFUNCTION("if($G204="""",false, if(isna(match(J$2, split($G204:$G383,"", "",False),0)),false,true))"),FALSE)</f>
        <v>0</v>
      </c>
      <c r="K204" s="53" t="b">
        <f ca="1">IFERROR(__xludf.DUMMYFUNCTION("if($G204="""",false, if(isna(match(K$2, split($G204:$G383,"", "",False),0)),false,true))"),FALSE)</f>
        <v>0</v>
      </c>
      <c r="L204" s="53" t="b">
        <f ca="1">IFERROR(__xludf.DUMMYFUNCTION("if($G204="""",false, if(isna(match(L$2, split($G204:$G383,"", "",False),0)),false,true))"),TRUE)</f>
        <v>1</v>
      </c>
      <c r="M204" s="53" t="b">
        <f ca="1">IFERROR(__xludf.DUMMYFUNCTION("if($G204="""",false, if(isna(match(M$2, split($G204:$G383,"", "",False),0)),false,true))"),FALSE)</f>
        <v>0</v>
      </c>
      <c r="N204" s="53" t="b">
        <f ca="1">IFERROR(__xludf.DUMMYFUNCTION("if($G204="""",false, if(isna(match(N$2, split($G204:$G383,"", "",False),0)),false,true))"),FALSE)</f>
        <v>0</v>
      </c>
      <c r="O204" s="53" t="b">
        <f ca="1">IFERROR(__xludf.DUMMYFUNCTION("if($G204="""",false, if(isna(match(O$2, split($G204:$G383,"", "",False),0)),false,true))"),FALSE)</f>
        <v>0</v>
      </c>
      <c r="P204" s="53" t="b">
        <f ca="1">IFERROR(__xludf.DUMMYFUNCTION("if($G204="""",false, if(isna(match(P$2, split($G204:$G383,"", "",False),0)),false,true))"),FALSE)</f>
        <v>0</v>
      </c>
      <c r="Q204" s="53" t="b">
        <f ca="1">IFERROR(__xludf.DUMMYFUNCTION("if($G204="""",false, if(isna(match(Q$2, split($G204:$G383,"", "",False),0)),false,true))"),FALSE)</f>
        <v>0</v>
      </c>
      <c r="R204" s="53" t="b">
        <f ca="1">IFERROR(__xludf.DUMMYFUNCTION("if($G204="""",false, if(isna(match(R$2, split($G204:$G383,"", "",False),0)),false,true))"),FALSE)</f>
        <v>0</v>
      </c>
      <c r="S204" s="53" t="b">
        <f ca="1">IFERROR(__xludf.DUMMYFUNCTION("if($G204="""",false, if(isna(match(S$2, split($G204:$G383,"", "",False),0)),false,true))"),FALSE)</f>
        <v>0</v>
      </c>
      <c r="T204" s="53" t="b">
        <f ca="1">IFERROR(__xludf.DUMMYFUNCTION("if($G204="""",false, if(isna(match(T$2, split($G204:$G383,"", "",False),0)),false,true))"),FALSE)</f>
        <v>0</v>
      </c>
      <c r="U204" s="53" t="b">
        <f ca="1">IFERROR(__xludf.DUMMYFUNCTION("if($G204="""",false, if(isna(match(U$2, split($G204:$G383,"", "",False),0)),false,true))"),FALSE)</f>
        <v>0</v>
      </c>
      <c r="V204" s="53" t="b">
        <f ca="1">IFERROR(__xludf.DUMMYFUNCTION("if($G204="""",false, if(isna(match(V$2, split($G204:$G383,"", "",False),0)),false,true))"),FALSE)</f>
        <v>0</v>
      </c>
      <c r="W204" s="57" t="b">
        <f ca="1">IFERROR(__xludf.DUMMYFUNCTION("if($G204="""",false, if(isna(match(W$2, split($G204:$G383,"", "",False),0)),false,true))"),FALSE)</f>
        <v>0</v>
      </c>
    </row>
    <row r="205" spans="1:23" ht="140">
      <c r="A205" s="47" t="s">
        <v>631</v>
      </c>
      <c r="B205" s="47" t="s">
        <v>65</v>
      </c>
      <c r="C205" s="49" t="s">
        <v>627</v>
      </c>
      <c r="D205" s="52" t="s">
        <v>628</v>
      </c>
      <c r="E205" s="49" t="s">
        <v>632</v>
      </c>
      <c r="F205" s="52" t="s">
        <v>633</v>
      </c>
      <c r="G205" s="59" t="s">
        <v>112</v>
      </c>
      <c r="H205" s="53" t="b">
        <f ca="1">IFERROR(__xludf.DUMMYFUNCTION("if($G205="""",false, if(isna(match(H$2, split($G205:$G383,"", "",False),0)),false,true))"),FALSE)</f>
        <v>0</v>
      </c>
      <c r="I205" s="53" t="b">
        <f ca="1">IFERROR(__xludf.DUMMYFUNCTION("if($G205="""",false, if(isna(match(I$2, split($G205:$G383,"", "",False),0)),false,true))"),FALSE)</f>
        <v>0</v>
      </c>
      <c r="J205" s="53" t="b">
        <f ca="1">IFERROR(__xludf.DUMMYFUNCTION("if($G205="""",false, if(isna(match(J$2, split($G205:$G383,"", "",False),0)),false,true))"),FALSE)</f>
        <v>0</v>
      </c>
      <c r="K205" s="53" t="b">
        <f ca="1">IFERROR(__xludf.DUMMYFUNCTION("if($G205="""",false, if(isna(match(K$2, split($G205:$G383,"", "",False),0)),false,true))"),FALSE)</f>
        <v>0</v>
      </c>
      <c r="L205" s="53" t="b">
        <f ca="1">IFERROR(__xludf.DUMMYFUNCTION("if($G205="""",false, if(isna(match(L$2, split($G205:$G383,"", "",False),0)),false,true))"),TRUE)</f>
        <v>1</v>
      </c>
      <c r="M205" s="53" t="b">
        <f ca="1">IFERROR(__xludf.DUMMYFUNCTION("if($G205="""",false, if(isna(match(M$2, split($G205:$G383,"", "",False),0)),false,true))"),FALSE)</f>
        <v>0</v>
      </c>
      <c r="N205" s="53" t="b">
        <f ca="1">IFERROR(__xludf.DUMMYFUNCTION("if($G205="""",false, if(isna(match(N$2, split($G205:$G383,"", "",False),0)),false,true))"),FALSE)</f>
        <v>0</v>
      </c>
      <c r="O205" s="53" t="b">
        <f ca="1">IFERROR(__xludf.DUMMYFUNCTION("if($G205="""",false, if(isna(match(O$2, split($G205:$G383,"", "",False),0)),false,true))"),FALSE)</f>
        <v>0</v>
      </c>
      <c r="P205" s="53" t="b">
        <f ca="1">IFERROR(__xludf.DUMMYFUNCTION("if($G205="""",false, if(isna(match(P$2, split($G205:$G383,"", "",False),0)),false,true))"),FALSE)</f>
        <v>0</v>
      </c>
      <c r="Q205" s="53" t="b">
        <f ca="1">IFERROR(__xludf.DUMMYFUNCTION("if($G205="""",false, if(isna(match(Q$2, split($G205:$G383,"", "",False),0)),false,true))"),FALSE)</f>
        <v>0</v>
      </c>
      <c r="R205" s="53" t="b">
        <f ca="1">IFERROR(__xludf.DUMMYFUNCTION("if($G205="""",false, if(isna(match(R$2, split($G205:$G383,"", "",False),0)),false,true))"),FALSE)</f>
        <v>0</v>
      </c>
      <c r="S205" s="53" t="b">
        <f ca="1">IFERROR(__xludf.DUMMYFUNCTION("if($G205="""",false, if(isna(match(S$2, split($G205:$G383,"", "",False),0)),false,true))"),FALSE)</f>
        <v>0</v>
      </c>
      <c r="T205" s="53" t="b">
        <f ca="1">IFERROR(__xludf.DUMMYFUNCTION("if($G205="""",false, if(isna(match(T$2, split($G205:$G383,"", "",False),0)),false,true))"),FALSE)</f>
        <v>0</v>
      </c>
      <c r="U205" s="53" t="b">
        <f ca="1">IFERROR(__xludf.DUMMYFUNCTION("if($G205="""",false, if(isna(match(U$2, split($G205:$G383,"", "",False),0)),false,true))"),FALSE)</f>
        <v>0</v>
      </c>
      <c r="V205" s="53" t="b">
        <f ca="1">IFERROR(__xludf.DUMMYFUNCTION("if($G205="""",false, if(isna(match(V$2, split($G205:$G383,"", "",False),0)),false,true))"),FALSE)</f>
        <v>0</v>
      </c>
      <c r="W205" s="57" t="b">
        <f ca="1">IFERROR(__xludf.DUMMYFUNCTION("if($G205="""",false, if(isna(match(W$2, split($G205:$G383,"", "",False),0)),false,true))"),FALSE)</f>
        <v>0</v>
      </c>
    </row>
    <row r="206" spans="1:23" ht="42">
      <c r="A206" s="47" t="s">
        <v>634</v>
      </c>
      <c r="B206" s="47" t="s">
        <v>65</v>
      </c>
      <c r="C206" s="49" t="s">
        <v>627</v>
      </c>
      <c r="D206" s="52" t="s">
        <v>628</v>
      </c>
      <c r="E206" s="49" t="s">
        <v>635</v>
      </c>
      <c r="F206" s="52" t="s">
        <v>636</v>
      </c>
      <c r="G206" s="59" t="s">
        <v>112</v>
      </c>
      <c r="H206" s="53" t="b">
        <f ca="1">IFERROR(__xludf.DUMMYFUNCTION("if($G206="""",false, if(isna(match(H$2, split($G206:$G383,"", "",False),0)),false,true))"),FALSE)</f>
        <v>0</v>
      </c>
      <c r="I206" s="53" t="b">
        <f ca="1">IFERROR(__xludf.DUMMYFUNCTION("if($G206="""",false, if(isna(match(I$2, split($G206:$G383,"", "",False),0)),false,true))"),FALSE)</f>
        <v>0</v>
      </c>
      <c r="J206" s="53" t="b">
        <f ca="1">IFERROR(__xludf.DUMMYFUNCTION("if($G206="""",false, if(isna(match(J$2, split($G206:$G383,"", "",False),0)),false,true))"),FALSE)</f>
        <v>0</v>
      </c>
      <c r="K206" s="53" t="b">
        <f ca="1">IFERROR(__xludf.DUMMYFUNCTION("if($G206="""",false, if(isna(match(K$2, split($G206:$G383,"", "",False),0)),false,true))"),FALSE)</f>
        <v>0</v>
      </c>
      <c r="L206" s="53" t="b">
        <f ca="1">IFERROR(__xludf.DUMMYFUNCTION("if($G206="""",false, if(isna(match(L$2, split($G206:$G383,"", "",False),0)),false,true))"),TRUE)</f>
        <v>1</v>
      </c>
      <c r="M206" s="53" t="b">
        <f ca="1">IFERROR(__xludf.DUMMYFUNCTION("if($G206="""",false, if(isna(match(M$2, split($G206:$G383,"", "",False),0)),false,true))"),FALSE)</f>
        <v>0</v>
      </c>
      <c r="N206" s="53" t="b">
        <f ca="1">IFERROR(__xludf.DUMMYFUNCTION("if($G206="""",false, if(isna(match(N$2, split($G206:$G383,"", "",False),0)),false,true))"),FALSE)</f>
        <v>0</v>
      </c>
      <c r="O206" s="53" t="b">
        <f ca="1">IFERROR(__xludf.DUMMYFUNCTION("if($G206="""",false, if(isna(match(O$2, split($G206:$G383,"", "",False),0)),false,true))"),FALSE)</f>
        <v>0</v>
      </c>
      <c r="P206" s="53" t="b">
        <f ca="1">IFERROR(__xludf.DUMMYFUNCTION("if($G206="""",false, if(isna(match(P$2, split($G206:$G383,"", "",False),0)),false,true))"),FALSE)</f>
        <v>0</v>
      </c>
      <c r="Q206" s="53" t="b">
        <f ca="1">IFERROR(__xludf.DUMMYFUNCTION("if($G206="""",false, if(isna(match(Q$2, split($G206:$G383,"", "",False),0)),false,true))"),FALSE)</f>
        <v>0</v>
      </c>
      <c r="R206" s="53" t="b">
        <f ca="1">IFERROR(__xludf.DUMMYFUNCTION("if($G206="""",false, if(isna(match(R$2, split($G206:$G383,"", "",False),0)),false,true))"),FALSE)</f>
        <v>0</v>
      </c>
      <c r="S206" s="53" t="b">
        <f ca="1">IFERROR(__xludf.DUMMYFUNCTION("if($G206="""",false, if(isna(match(S$2, split($G206:$G383,"", "",False),0)),false,true))"),FALSE)</f>
        <v>0</v>
      </c>
      <c r="T206" s="53" t="b">
        <f ca="1">IFERROR(__xludf.DUMMYFUNCTION("if($G206="""",false, if(isna(match(T$2, split($G206:$G383,"", "",False),0)),false,true))"),FALSE)</f>
        <v>0</v>
      </c>
      <c r="U206" s="53" t="b">
        <f ca="1">IFERROR(__xludf.DUMMYFUNCTION("if($G206="""",false, if(isna(match(U$2, split($G206:$G383,"", "",False),0)),false,true))"),FALSE)</f>
        <v>0</v>
      </c>
      <c r="V206" s="53" t="b">
        <f ca="1">IFERROR(__xludf.DUMMYFUNCTION("if($G206="""",false, if(isna(match(V$2, split($G206:$G383,"", "",False),0)),false,true))"),FALSE)</f>
        <v>0</v>
      </c>
      <c r="W206" s="57" t="b">
        <f ca="1">IFERROR(__xludf.DUMMYFUNCTION("if($G206="""",false, if(isna(match(W$2, split($G206:$G383,"", "",False),0)),false,true))"),FALSE)</f>
        <v>0</v>
      </c>
    </row>
    <row r="207" spans="1:23" ht="84">
      <c r="A207" s="47" t="s">
        <v>637</v>
      </c>
      <c r="B207" s="47" t="s">
        <v>65</v>
      </c>
      <c r="C207" s="49" t="s">
        <v>587</v>
      </c>
      <c r="D207" s="52" t="s">
        <v>638</v>
      </c>
      <c r="E207" s="49" t="s">
        <v>79</v>
      </c>
      <c r="F207" s="52" t="s">
        <v>639</v>
      </c>
      <c r="G207" s="59" t="s">
        <v>316</v>
      </c>
      <c r="H207" s="53" t="b">
        <f ca="1">IFERROR(__xludf.DUMMYFUNCTION("if($G207="""",false, if(isna(match(H$2, split($G207:$G383,"", "",False),0)),false,true))"),FALSE)</f>
        <v>0</v>
      </c>
      <c r="I207" s="53" t="b">
        <f ca="1">IFERROR(__xludf.DUMMYFUNCTION("if($G207="""",false, if(isna(match(I$2, split($G207:$G383,"", "",False),0)),false,true))"),TRUE)</f>
        <v>1</v>
      </c>
      <c r="J207" s="53" t="b">
        <f ca="1">IFERROR(__xludf.DUMMYFUNCTION("if($G207="""",false, if(isna(match(J$2, split($G207:$G383,"", "",False),0)),false,true))"),FALSE)</f>
        <v>0</v>
      </c>
      <c r="K207" s="53" t="b">
        <f ca="1">IFERROR(__xludf.DUMMYFUNCTION("if($G207="""",false, if(isna(match(K$2, split($G207:$G383,"", "",False),0)),false,true))"),FALSE)</f>
        <v>0</v>
      </c>
      <c r="L207" s="53" t="b">
        <f ca="1">IFERROR(__xludf.DUMMYFUNCTION("if($G207="""",false, if(isna(match(L$2, split($G207:$G383,"", "",False),0)),false,true))"),FALSE)</f>
        <v>0</v>
      </c>
      <c r="M207" s="53" t="b">
        <f ca="1">IFERROR(__xludf.DUMMYFUNCTION("if($G207="""",false, if(isna(match(M$2, split($G207:$G383,"", "",False),0)),false,true))"),FALSE)</f>
        <v>0</v>
      </c>
      <c r="N207" s="53" t="b">
        <f ca="1">IFERROR(__xludf.DUMMYFUNCTION("if($G207="""",false, if(isna(match(N$2, split($G207:$G383,"", "",False),0)),false,true))"),FALSE)</f>
        <v>0</v>
      </c>
      <c r="O207" s="53" t="b">
        <f ca="1">IFERROR(__xludf.DUMMYFUNCTION("if($G207="""",false, if(isna(match(O$2, split($G207:$G383,"", "",False),0)),false,true))"),FALSE)</f>
        <v>0</v>
      </c>
      <c r="P207" s="53" t="b">
        <f ca="1">IFERROR(__xludf.DUMMYFUNCTION("if($G207="""",false, if(isna(match(P$2, split($G207:$G383,"", "",False),0)),false,true))"),FALSE)</f>
        <v>0</v>
      </c>
      <c r="Q207" s="53" t="b">
        <f ca="1">IFERROR(__xludf.DUMMYFUNCTION("if($G207="""",false, if(isna(match(Q$2, split($G207:$G383,"", "",False),0)),false,true))"),FALSE)</f>
        <v>0</v>
      </c>
      <c r="R207" s="53" t="b">
        <f ca="1">IFERROR(__xludf.DUMMYFUNCTION("if($G207="""",false, if(isna(match(R$2, split($G207:$G383,"", "",False),0)),false,true))"),FALSE)</f>
        <v>0</v>
      </c>
      <c r="S207" s="53" t="b">
        <f ca="1">IFERROR(__xludf.DUMMYFUNCTION("if($G207="""",false, if(isna(match(S$2, split($G207:$G383,"", "",False),0)),false,true))"),TRUE)</f>
        <v>1</v>
      </c>
      <c r="T207" s="53" t="b">
        <f ca="1">IFERROR(__xludf.DUMMYFUNCTION("if($G207="""",false, if(isna(match(T$2, split($G207:$G383,"", "",False),0)),false,true))"),FALSE)</f>
        <v>0</v>
      </c>
      <c r="U207" s="53" t="b">
        <f ca="1">IFERROR(__xludf.DUMMYFUNCTION("if($G207="""",false, if(isna(match(U$2, split($G207:$G383,"", "",False),0)),false,true))"),FALSE)</f>
        <v>0</v>
      </c>
      <c r="V207" s="53" t="b">
        <f ca="1">IFERROR(__xludf.DUMMYFUNCTION("if($G207="""",false, if(isna(match(V$2, split($G207:$G383,"", "",False),0)),false,true))"),FALSE)</f>
        <v>0</v>
      </c>
      <c r="W207" s="57" t="b">
        <f ca="1">IFERROR(__xludf.DUMMYFUNCTION("if($G207="""",false, if(isna(match(W$2, split($G207:$G383,"", "",False),0)),false,true))"),FALSE)</f>
        <v>0</v>
      </c>
    </row>
    <row r="208" spans="1:23" ht="28">
      <c r="A208" s="47" t="s">
        <v>640</v>
      </c>
      <c r="B208" s="47" t="s">
        <v>65</v>
      </c>
      <c r="C208" s="49" t="s">
        <v>587</v>
      </c>
      <c r="D208" s="52" t="s">
        <v>638</v>
      </c>
      <c r="E208" s="49" t="s">
        <v>79</v>
      </c>
      <c r="F208" s="52" t="s">
        <v>641</v>
      </c>
      <c r="G208" s="59"/>
      <c r="H208" s="53" t="b">
        <f ca="1">IFERROR(__xludf.DUMMYFUNCTION("if($G208="""",false, if(isna(match(H$2, split($G208:$G383,"", "",False),0)),false,true))"),FALSE)</f>
        <v>0</v>
      </c>
      <c r="I208" s="53" t="b">
        <f ca="1">IFERROR(__xludf.DUMMYFUNCTION("if($G208="""",false, if(isna(match(I$2, split($G208:$G383,"", "",False),0)),false,true))"),FALSE)</f>
        <v>0</v>
      </c>
      <c r="J208" s="53" t="b">
        <f ca="1">IFERROR(__xludf.DUMMYFUNCTION("if($G208="""",false, if(isna(match(J$2, split($G208:$G383,"", "",False),0)),false,true))"),FALSE)</f>
        <v>0</v>
      </c>
      <c r="K208" s="53" t="b">
        <f ca="1">IFERROR(__xludf.DUMMYFUNCTION("if($G208="""",false, if(isna(match(K$2, split($G208:$G383,"", "",False),0)),false,true))"),FALSE)</f>
        <v>0</v>
      </c>
      <c r="L208" s="53" t="b">
        <f ca="1">IFERROR(__xludf.DUMMYFUNCTION("if($G208="""",false, if(isna(match(L$2, split($G208:$G383,"", "",False),0)),false,true))"),FALSE)</f>
        <v>0</v>
      </c>
      <c r="M208" s="53" t="b">
        <f ca="1">IFERROR(__xludf.DUMMYFUNCTION("if($G208="""",false, if(isna(match(M$2, split($G208:$G383,"", "",False),0)),false,true))"),FALSE)</f>
        <v>0</v>
      </c>
      <c r="N208" s="53" t="b">
        <f ca="1">IFERROR(__xludf.DUMMYFUNCTION("if($G208="""",false, if(isna(match(N$2, split($G208:$G383,"", "",False),0)),false,true))"),FALSE)</f>
        <v>0</v>
      </c>
      <c r="O208" s="53" t="b">
        <f ca="1">IFERROR(__xludf.DUMMYFUNCTION("if($G208="""",false, if(isna(match(O$2, split($G208:$G383,"", "",False),0)),false,true))"),FALSE)</f>
        <v>0</v>
      </c>
      <c r="P208" s="53" t="b">
        <f ca="1">IFERROR(__xludf.DUMMYFUNCTION("if($G208="""",false, if(isna(match(P$2, split($G208:$G383,"", "",False),0)),false,true))"),FALSE)</f>
        <v>0</v>
      </c>
      <c r="Q208" s="53" t="b">
        <f ca="1">IFERROR(__xludf.DUMMYFUNCTION("if($G208="""",false, if(isna(match(Q$2, split($G208:$G383,"", "",False),0)),false,true))"),FALSE)</f>
        <v>0</v>
      </c>
      <c r="R208" s="53" t="b">
        <f ca="1">IFERROR(__xludf.DUMMYFUNCTION("if($G208="""",false, if(isna(match(R$2, split($G208:$G383,"", "",False),0)),false,true))"),FALSE)</f>
        <v>0</v>
      </c>
      <c r="S208" s="53" t="b">
        <f ca="1">IFERROR(__xludf.DUMMYFUNCTION("if($G208="""",false, if(isna(match(S$2, split($G208:$G383,"", "",False),0)),false,true))"),FALSE)</f>
        <v>0</v>
      </c>
      <c r="T208" s="53" t="b">
        <f ca="1">IFERROR(__xludf.DUMMYFUNCTION("if($G208="""",false, if(isna(match(T$2, split($G208:$G383,"", "",False),0)),false,true))"),FALSE)</f>
        <v>0</v>
      </c>
      <c r="U208" s="53" t="b">
        <f ca="1">IFERROR(__xludf.DUMMYFUNCTION("if($G208="""",false, if(isna(match(U$2, split($G208:$G383,"", "",False),0)),false,true))"),FALSE)</f>
        <v>0</v>
      </c>
      <c r="V208" s="53" t="b">
        <f ca="1">IFERROR(__xludf.DUMMYFUNCTION("if($G208="""",false, if(isna(match(V$2, split($G208:$G383,"", "",False),0)),false,true))"),FALSE)</f>
        <v>0</v>
      </c>
      <c r="W208" s="57" t="b">
        <f ca="1">IFERROR(__xludf.DUMMYFUNCTION("if($G208="""",false, if(isna(match(W$2, split($G208:$G383,"", "",False),0)),false,true))"),FALSE)</f>
        <v>0</v>
      </c>
    </row>
    <row r="209" spans="1:23" ht="28">
      <c r="A209" s="47" t="s">
        <v>642</v>
      </c>
      <c r="B209" s="47" t="s">
        <v>65</v>
      </c>
      <c r="C209" s="49" t="s">
        <v>587</v>
      </c>
      <c r="D209" s="52" t="s">
        <v>643</v>
      </c>
      <c r="E209" s="49" t="s">
        <v>7</v>
      </c>
      <c r="F209" s="52" t="s">
        <v>644</v>
      </c>
      <c r="G209" s="59" t="s">
        <v>7</v>
      </c>
      <c r="H209" s="53" t="b">
        <f ca="1">IFERROR(__xludf.DUMMYFUNCTION("if($G209="""",false, if(isna(match(H$2, split($G209:$G383,"", "",False),0)),false,true))"),FALSE)</f>
        <v>0</v>
      </c>
      <c r="I209" s="53" t="b">
        <f ca="1">IFERROR(__xludf.DUMMYFUNCTION("if($G209="""",false, if(isna(match(I$2, split($G209:$G383,"", "",False),0)),false,true))"),FALSE)</f>
        <v>0</v>
      </c>
      <c r="J209" s="53" t="b">
        <f ca="1">IFERROR(__xludf.DUMMYFUNCTION("if($G209="""",false, if(isna(match(J$2, split($G209:$G383,"", "",False),0)),false,true))"),FALSE)</f>
        <v>0</v>
      </c>
      <c r="K209" s="53" t="b">
        <f ca="1">IFERROR(__xludf.DUMMYFUNCTION("if($G209="""",false, if(isna(match(K$2, split($G209:$G383,"", "",False),0)),false,true))"),FALSE)</f>
        <v>0</v>
      </c>
      <c r="L209" s="53" t="b">
        <f ca="1">IFERROR(__xludf.DUMMYFUNCTION("if($G209="""",false, if(isna(match(L$2, split($G209:$G383,"", "",False),0)),false,true))"),FALSE)</f>
        <v>0</v>
      </c>
      <c r="M209" s="53" t="b">
        <f ca="1">IFERROR(__xludf.DUMMYFUNCTION("if($G209="""",false, if(isna(match(M$2, split($G209:$G383,"", "",False),0)),false,true))"),FALSE)</f>
        <v>0</v>
      </c>
      <c r="N209" s="53" t="b">
        <f ca="1">IFERROR(__xludf.DUMMYFUNCTION("if($G209="""",false, if(isna(match(N$2, split($G209:$G383,"", "",False),0)),false,true))"),FALSE)</f>
        <v>0</v>
      </c>
      <c r="O209" s="53" t="b">
        <f ca="1">IFERROR(__xludf.DUMMYFUNCTION("if($G209="""",false, if(isna(match(O$2, split($G209:$G383,"", "",False),0)),false,true))"),FALSE)</f>
        <v>0</v>
      </c>
      <c r="P209" s="53" t="b">
        <f ca="1">IFERROR(__xludf.DUMMYFUNCTION("if($G209="""",false, if(isna(match(P$2, split($G209:$G383,"", "",False),0)),false,true))"),FALSE)</f>
        <v>0</v>
      </c>
      <c r="Q209" s="53" t="b">
        <f ca="1">IFERROR(__xludf.DUMMYFUNCTION("if($G209="""",false, if(isna(match(Q$2, split($G209:$G383,"", "",False),0)),false,true))"),FALSE)</f>
        <v>0</v>
      </c>
      <c r="R209" s="53" t="b">
        <f ca="1">IFERROR(__xludf.DUMMYFUNCTION("if($G209="""",false, if(isna(match(R$2, split($G209:$G383,"", "",False),0)),false,true))"),FALSE)</f>
        <v>0</v>
      </c>
      <c r="S209" s="53" t="b">
        <f ca="1">IFERROR(__xludf.DUMMYFUNCTION("if($G209="""",false, if(isna(match(S$2, split($G209:$G383,"", "",False),0)),false,true))"),FALSE)</f>
        <v>0</v>
      </c>
      <c r="T209" s="53" t="b">
        <f ca="1">IFERROR(__xludf.DUMMYFUNCTION("if($G209="""",false, if(isna(match(T$2, split($G209:$G383,"", "",False),0)),false,true))"),FALSE)</f>
        <v>0</v>
      </c>
      <c r="U209" s="53" t="b">
        <f ca="1">IFERROR(__xludf.DUMMYFUNCTION("if($G209="""",false, if(isna(match(U$2, split($G209:$G383,"", "",False),0)),false,true))"),FALSE)</f>
        <v>0</v>
      </c>
      <c r="V209" s="53" t="b">
        <f ca="1">IFERROR(__xludf.DUMMYFUNCTION("if($G209="""",false, if(isna(match(V$2, split($G209:$G383,"", "",False),0)),false,true))"),FALSE)</f>
        <v>0</v>
      </c>
      <c r="W209" s="57" t="b">
        <f ca="1">IFERROR(__xludf.DUMMYFUNCTION("if($G209="""",false, if(isna(match(W$2, split($G209:$G383,"", "",False),0)),false,true))"),FALSE)</f>
        <v>0</v>
      </c>
    </row>
    <row r="210" spans="1:23" ht="42">
      <c r="A210" s="47" t="s">
        <v>645</v>
      </c>
      <c r="B210" s="47" t="s">
        <v>65</v>
      </c>
      <c r="C210" s="49" t="s">
        <v>587</v>
      </c>
      <c r="D210" s="52" t="s">
        <v>643</v>
      </c>
      <c r="E210" s="49" t="s">
        <v>7</v>
      </c>
      <c r="F210" s="52" t="s">
        <v>646</v>
      </c>
      <c r="G210" s="59" t="s">
        <v>7</v>
      </c>
      <c r="H210" s="53" t="b">
        <f ca="1">IFERROR(__xludf.DUMMYFUNCTION("if($G210="""",false, if(isna(match(H$2, split($G210:$G383,"", "",False),0)),false,true))"),FALSE)</f>
        <v>0</v>
      </c>
      <c r="I210" s="53" t="b">
        <f ca="1">IFERROR(__xludf.DUMMYFUNCTION("if($G210="""",false, if(isna(match(I$2, split($G210:$G383,"", "",False),0)),false,true))"),FALSE)</f>
        <v>0</v>
      </c>
      <c r="J210" s="53" t="b">
        <f ca="1">IFERROR(__xludf.DUMMYFUNCTION("if($G210="""",false, if(isna(match(J$2, split($G210:$G383,"", "",False),0)),false,true))"),FALSE)</f>
        <v>0</v>
      </c>
      <c r="K210" s="53" t="b">
        <f ca="1">IFERROR(__xludf.DUMMYFUNCTION("if($G210="""",false, if(isna(match(K$2, split($G210:$G383,"", "",False),0)),false,true))"),FALSE)</f>
        <v>0</v>
      </c>
      <c r="L210" s="53" t="b">
        <f ca="1">IFERROR(__xludf.DUMMYFUNCTION("if($G210="""",false, if(isna(match(L$2, split($G210:$G383,"", "",False),0)),false,true))"),FALSE)</f>
        <v>0</v>
      </c>
      <c r="M210" s="53" t="b">
        <f ca="1">IFERROR(__xludf.DUMMYFUNCTION("if($G210="""",false, if(isna(match(M$2, split($G210:$G383,"", "",False),0)),false,true))"),FALSE)</f>
        <v>0</v>
      </c>
      <c r="N210" s="53" t="b">
        <f ca="1">IFERROR(__xludf.DUMMYFUNCTION("if($G210="""",false, if(isna(match(N$2, split($G210:$G383,"", "",False),0)),false,true))"),FALSE)</f>
        <v>0</v>
      </c>
      <c r="O210" s="53" t="b">
        <f ca="1">IFERROR(__xludf.DUMMYFUNCTION("if($G210="""",false, if(isna(match(O$2, split($G210:$G383,"", "",False),0)),false,true))"),FALSE)</f>
        <v>0</v>
      </c>
      <c r="P210" s="53" t="b">
        <f ca="1">IFERROR(__xludf.DUMMYFUNCTION("if($G210="""",false, if(isna(match(P$2, split($G210:$G383,"", "",False),0)),false,true))"),FALSE)</f>
        <v>0</v>
      </c>
      <c r="Q210" s="53" t="b">
        <f ca="1">IFERROR(__xludf.DUMMYFUNCTION("if($G210="""",false, if(isna(match(Q$2, split($G210:$G383,"", "",False),0)),false,true))"),FALSE)</f>
        <v>0</v>
      </c>
      <c r="R210" s="53" t="b">
        <f ca="1">IFERROR(__xludf.DUMMYFUNCTION("if($G210="""",false, if(isna(match(R$2, split($G210:$G383,"", "",False),0)),false,true))"),FALSE)</f>
        <v>0</v>
      </c>
      <c r="S210" s="53" t="b">
        <f ca="1">IFERROR(__xludf.DUMMYFUNCTION("if($G210="""",false, if(isna(match(S$2, split($G210:$G383,"", "",False),0)),false,true))"),FALSE)</f>
        <v>0</v>
      </c>
      <c r="T210" s="53" t="b">
        <f ca="1">IFERROR(__xludf.DUMMYFUNCTION("if($G210="""",false, if(isna(match(T$2, split($G210:$G383,"", "",False),0)),false,true))"),FALSE)</f>
        <v>0</v>
      </c>
      <c r="U210" s="53" t="b">
        <f ca="1">IFERROR(__xludf.DUMMYFUNCTION("if($G210="""",false, if(isna(match(U$2, split($G210:$G383,"", "",False),0)),false,true))"),FALSE)</f>
        <v>0</v>
      </c>
      <c r="V210" s="53" t="b">
        <f ca="1">IFERROR(__xludf.DUMMYFUNCTION("if($G210="""",false, if(isna(match(V$2, split($G210:$G383,"", "",False),0)),false,true))"),FALSE)</f>
        <v>0</v>
      </c>
      <c r="W210" s="57" t="b">
        <f ca="1">IFERROR(__xludf.DUMMYFUNCTION("if($G210="""",false, if(isna(match(W$2, split($G210:$G383,"", "",False),0)),false,true))"),FALSE)</f>
        <v>0</v>
      </c>
    </row>
    <row r="211" spans="1:23" ht="112">
      <c r="A211" s="47" t="s">
        <v>647</v>
      </c>
      <c r="B211" s="47" t="s">
        <v>65</v>
      </c>
      <c r="C211" s="49" t="s">
        <v>587</v>
      </c>
      <c r="D211" s="52" t="s">
        <v>643</v>
      </c>
      <c r="E211" s="49" t="s">
        <v>7</v>
      </c>
      <c r="F211" s="52" t="s">
        <v>648</v>
      </c>
      <c r="G211" s="59" t="s">
        <v>7</v>
      </c>
      <c r="H211" s="53" t="b">
        <f ca="1">IFERROR(__xludf.DUMMYFUNCTION("if($G211="""",false, if(isna(match(H$2, split($G211:$G383,"", "",False),0)),false,true))"),FALSE)</f>
        <v>0</v>
      </c>
      <c r="I211" s="53" t="b">
        <f ca="1">IFERROR(__xludf.DUMMYFUNCTION("if($G211="""",false, if(isna(match(I$2, split($G211:$G383,"", "",False),0)),false,true))"),FALSE)</f>
        <v>0</v>
      </c>
      <c r="J211" s="53" t="b">
        <f ca="1">IFERROR(__xludf.DUMMYFUNCTION("if($G211="""",false, if(isna(match(J$2, split($G211:$G383,"", "",False),0)),false,true))"),FALSE)</f>
        <v>0</v>
      </c>
      <c r="K211" s="53" t="b">
        <f ca="1">IFERROR(__xludf.DUMMYFUNCTION("if($G211="""",false, if(isna(match(K$2, split($G211:$G383,"", "",False),0)),false,true))"),FALSE)</f>
        <v>0</v>
      </c>
      <c r="L211" s="53" t="b">
        <f ca="1">IFERROR(__xludf.DUMMYFUNCTION("if($G211="""",false, if(isna(match(L$2, split($G211:$G383,"", "",False),0)),false,true))"),FALSE)</f>
        <v>0</v>
      </c>
      <c r="M211" s="53" t="b">
        <f ca="1">IFERROR(__xludf.DUMMYFUNCTION("if($G211="""",false, if(isna(match(M$2, split($G211:$G383,"", "",False),0)),false,true))"),FALSE)</f>
        <v>0</v>
      </c>
      <c r="N211" s="53" t="b">
        <f ca="1">IFERROR(__xludf.DUMMYFUNCTION("if($G211="""",false, if(isna(match(N$2, split($G211:$G383,"", "",False),0)),false,true))"),FALSE)</f>
        <v>0</v>
      </c>
      <c r="O211" s="53" t="b">
        <f ca="1">IFERROR(__xludf.DUMMYFUNCTION("if($G211="""",false, if(isna(match(O$2, split($G211:$G383,"", "",False),0)),false,true))"),FALSE)</f>
        <v>0</v>
      </c>
      <c r="P211" s="53" t="b">
        <f ca="1">IFERROR(__xludf.DUMMYFUNCTION("if($G211="""",false, if(isna(match(P$2, split($G211:$G383,"", "",False),0)),false,true))"),FALSE)</f>
        <v>0</v>
      </c>
      <c r="Q211" s="53" t="b">
        <f ca="1">IFERROR(__xludf.DUMMYFUNCTION("if($G211="""",false, if(isna(match(Q$2, split($G211:$G383,"", "",False),0)),false,true))"),FALSE)</f>
        <v>0</v>
      </c>
      <c r="R211" s="53" t="b">
        <f ca="1">IFERROR(__xludf.DUMMYFUNCTION("if($G211="""",false, if(isna(match(R$2, split($G211:$G383,"", "",False),0)),false,true))"),FALSE)</f>
        <v>0</v>
      </c>
      <c r="S211" s="53" t="b">
        <f ca="1">IFERROR(__xludf.DUMMYFUNCTION("if($G211="""",false, if(isna(match(S$2, split($G211:$G383,"", "",False),0)),false,true))"),FALSE)</f>
        <v>0</v>
      </c>
      <c r="T211" s="53" t="b">
        <f ca="1">IFERROR(__xludf.DUMMYFUNCTION("if($G211="""",false, if(isna(match(T$2, split($G211:$G383,"", "",False),0)),false,true))"),FALSE)</f>
        <v>0</v>
      </c>
      <c r="U211" s="53" t="b">
        <f ca="1">IFERROR(__xludf.DUMMYFUNCTION("if($G211="""",false, if(isna(match(U$2, split($G211:$G383,"", "",False),0)),false,true))"),FALSE)</f>
        <v>0</v>
      </c>
      <c r="V211" s="53" t="b">
        <f ca="1">IFERROR(__xludf.DUMMYFUNCTION("if($G211="""",false, if(isna(match(V$2, split($G211:$G383,"", "",False),0)),false,true))"),FALSE)</f>
        <v>0</v>
      </c>
      <c r="W211" s="57" t="b">
        <f ca="1">IFERROR(__xludf.DUMMYFUNCTION("if($G211="""",false, if(isna(match(W$2, split($G211:$G383,"", "",False),0)),false,true))"),FALSE)</f>
        <v>0</v>
      </c>
    </row>
    <row r="212" spans="1:23" ht="28">
      <c r="A212" s="47" t="s">
        <v>649</v>
      </c>
      <c r="B212" s="47" t="s">
        <v>65</v>
      </c>
      <c r="C212" s="49" t="s">
        <v>587</v>
      </c>
      <c r="D212" s="52" t="s">
        <v>643</v>
      </c>
      <c r="E212" s="49" t="s">
        <v>7</v>
      </c>
      <c r="F212" s="52" t="s">
        <v>650</v>
      </c>
      <c r="G212" s="59" t="s">
        <v>7</v>
      </c>
      <c r="H212" s="53" t="b">
        <f ca="1">IFERROR(__xludf.DUMMYFUNCTION("if($G212="""",false, if(isna(match(H$2, split($G212:$G383,"", "",False),0)),false,true))"),FALSE)</f>
        <v>0</v>
      </c>
      <c r="I212" s="53" t="b">
        <f ca="1">IFERROR(__xludf.DUMMYFUNCTION("if($G212="""",false, if(isna(match(I$2, split($G212:$G383,"", "",False),0)),false,true))"),FALSE)</f>
        <v>0</v>
      </c>
      <c r="J212" s="53" t="b">
        <f ca="1">IFERROR(__xludf.DUMMYFUNCTION("if($G212="""",false, if(isna(match(J$2, split($G212:$G383,"", "",False),0)),false,true))"),FALSE)</f>
        <v>0</v>
      </c>
      <c r="K212" s="53" t="b">
        <f ca="1">IFERROR(__xludf.DUMMYFUNCTION("if($G212="""",false, if(isna(match(K$2, split($G212:$G383,"", "",False),0)),false,true))"),FALSE)</f>
        <v>0</v>
      </c>
      <c r="L212" s="53" t="b">
        <f ca="1">IFERROR(__xludf.DUMMYFUNCTION("if($G212="""",false, if(isna(match(L$2, split($G212:$G383,"", "",False),0)),false,true))"),FALSE)</f>
        <v>0</v>
      </c>
      <c r="M212" s="53" t="b">
        <f ca="1">IFERROR(__xludf.DUMMYFUNCTION("if($G212="""",false, if(isna(match(M$2, split($G212:$G383,"", "",False),0)),false,true))"),FALSE)</f>
        <v>0</v>
      </c>
      <c r="N212" s="53" t="b">
        <f ca="1">IFERROR(__xludf.DUMMYFUNCTION("if($G212="""",false, if(isna(match(N$2, split($G212:$G383,"", "",False),0)),false,true))"),FALSE)</f>
        <v>0</v>
      </c>
      <c r="O212" s="53" t="b">
        <f ca="1">IFERROR(__xludf.DUMMYFUNCTION("if($G212="""",false, if(isna(match(O$2, split($G212:$G383,"", "",False),0)),false,true))"),FALSE)</f>
        <v>0</v>
      </c>
      <c r="P212" s="53" t="b">
        <f ca="1">IFERROR(__xludf.DUMMYFUNCTION("if($G212="""",false, if(isna(match(P$2, split($G212:$G383,"", "",False),0)),false,true))"),FALSE)</f>
        <v>0</v>
      </c>
      <c r="Q212" s="53" t="b">
        <f ca="1">IFERROR(__xludf.DUMMYFUNCTION("if($G212="""",false, if(isna(match(Q$2, split($G212:$G383,"", "",False),0)),false,true))"),FALSE)</f>
        <v>0</v>
      </c>
      <c r="R212" s="53" t="b">
        <f ca="1">IFERROR(__xludf.DUMMYFUNCTION("if($G212="""",false, if(isna(match(R$2, split($G212:$G383,"", "",False),0)),false,true))"),FALSE)</f>
        <v>0</v>
      </c>
      <c r="S212" s="53" t="b">
        <f ca="1">IFERROR(__xludf.DUMMYFUNCTION("if($G212="""",false, if(isna(match(S$2, split($G212:$G383,"", "",False),0)),false,true))"),FALSE)</f>
        <v>0</v>
      </c>
      <c r="T212" s="53" t="b">
        <f ca="1">IFERROR(__xludf.DUMMYFUNCTION("if($G212="""",false, if(isna(match(T$2, split($G212:$G383,"", "",False),0)),false,true))"),FALSE)</f>
        <v>0</v>
      </c>
      <c r="U212" s="53" t="b">
        <f ca="1">IFERROR(__xludf.DUMMYFUNCTION("if($G212="""",false, if(isna(match(U$2, split($G212:$G383,"", "",False),0)),false,true))"),FALSE)</f>
        <v>0</v>
      </c>
      <c r="V212" s="53" t="b">
        <f ca="1">IFERROR(__xludf.DUMMYFUNCTION("if($G212="""",false, if(isna(match(V$2, split($G212:$G383,"", "",False),0)),false,true))"),FALSE)</f>
        <v>0</v>
      </c>
      <c r="W212" s="57" t="b">
        <f ca="1">IFERROR(__xludf.DUMMYFUNCTION("if($G212="""",false, if(isna(match(W$2, split($G212:$G383,"", "",False),0)),false,true))"),FALSE)</f>
        <v>0</v>
      </c>
    </row>
    <row r="213" spans="1:23" ht="28">
      <c r="A213" s="47" t="s">
        <v>651</v>
      </c>
      <c r="B213" s="47" t="s">
        <v>65</v>
      </c>
      <c r="C213" s="49" t="s">
        <v>587</v>
      </c>
      <c r="D213" s="52" t="s">
        <v>643</v>
      </c>
      <c r="E213" s="49" t="s">
        <v>7</v>
      </c>
      <c r="F213" s="52" t="s">
        <v>652</v>
      </c>
      <c r="G213" s="59"/>
      <c r="H213" s="53" t="b">
        <f ca="1">IFERROR(__xludf.DUMMYFUNCTION("if($G213="""",false, if(isna(match(H$2, split($G213:$G383,"", "",False),0)),false,true))"),FALSE)</f>
        <v>0</v>
      </c>
      <c r="I213" s="53" t="b">
        <f ca="1">IFERROR(__xludf.DUMMYFUNCTION("if($G213="""",false, if(isna(match(I$2, split($G213:$G383,"", "",False),0)),false,true))"),FALSE)</f>
        <v>0</v>
      </c>
      <c r="J213" s="53" t="b">
        <f ca="1">IFERROR(__xludf.DUMMYFUNCTION("if($G213="""",false, if(isna(match(J$2, split($G213:$G383,"", "",False),0)),false,true))"),FALSE)</f>
        <v>0</v>
      </c>
      <c r="K213" s="53" t="b">
        <f ca="1">IFERROR(__xludf.DUMMYFUNCTION("if($G213="""",false, if(isna(match(K$2, split($G213:$G383,"", "",False),0)),false,true))"),FALSE)</f>
        <v>0</v>
      </c>
      <c r="L213" s="53" t="b">
        <f ca="1">IFERROR(__xludf.DUMMYFUNCTION("if($G213="""",false, if(isna(match(L$2, split($G213:$G383,"", "",False),0)),false,true))"),FALSE)</f>
        <v>0</v>
      </c>
      <c r="M213" s="53" t="b">
        <f ca="1">IFERROR(__xludf.DUMMYFUNCTION("if($G213="""",false, if(isna(match(M$2, split($G213:$G383,"", "",False),0)),false,true))"),FALSE)</f>
        <v>0</v>
      </c>
      <c r="N213" s="53" t="b">
        <f ca="1">IFERROR(__xludf.DUMMYFUNCTION("if($G213="""",false, if(isna(match(N$2, split($G213:$G383,"", "",False),0)),false,true))"),FALSE)</f>
        <v>0</v>
      </c>
      <c r="O213" s="53" t="b">
        <f ca="1">IFERROR(__xludf.DUMMYFUNCTION("if($G213="""",false, if(isna(match(O$2, split($G213:$G383,"", "",False),0)),false,true))"),FALSE)</f>
        <v>0</v>
      </c>
      <c r="P213" s="53" t="b">
        <f ca="1">IFERROR(__xludf.DUMMYFUNCTION("if($G213="""",false, if(isna(match(P$2, split($G213:$G383,"", "",False),0)),false,true))"),FALSE)</f>
        <v>0</v>
      </c>
      <c r="Q213" s="53" t="b">
        <f ca="1">IFERROR(__xludf.DUMMYFUNCTION("if($G213="""",false, if(isna(match(Q$2, split($G213:$G383,"", "",False),0)),false,true))"),FALSE)</f>
        <v>0</v>
      </c>
      <c r="R213" s="53" t="b">
        <f ca="1">IFERROR(__xludf.DUMMYFUNCTION("if($G213="""",false, if(isna(match(R$2, split($G213:$G383,"", "",False),0)),false,true))"),FALSE)</f>
        <v>0</v>
      </c>
      <c r="S213" s="53" t="b">
        <f ca="1">IFERROR(__xludf.DUMMYFUNCTION("if($G213="""",false, if(isna(match(S$2, split($G213:$G383,"", "",False),0)),false,true))"),FALSE)</f>
        <v>0</v>
      </c>
      <c r="T213" s="53" t="b">
        <f ca="1">IFERROR(__xludf.DUMMYFUNCTION("if($G213="""",false, if(isna(match(T$2, split($G213:$G383,"", "",False),0)),false,true))"),FALSE)</f>
        <v>0</v>
      </c>
      <c r="U213" s="53" t="b">
        <f ca="1">IFERROR(__xludf.DUMMYFUNCTION("if($G213="""",false, if(isna(match(U$2, split($G213:$G383,"", "",False),0)),false,true))"),FALSE)</f>
        <v>0</v>
      </c>
      <c r="V213" s="53" t="b">
        <f ca="1">IFERROR(__xludf.DUMMYFUNCTION("if($G213="""",false, if(isna(match(V$2, split($G213:$G383,"", "",False),0)),false,true))"),FALSE)</f>
        <v>0</v>
      </c>
      <c r="W213" s="57" t="b">
        <f ca="1">IFERROR(__xludf.DUMMYFUNCTION("if($G213="""",false, if(isna(match(W$2, split($G213:$G383,"", "",False),0)),false,true))"),FALSE)</f>
        <v>0</v>
      </c>
    </row>
    <row r="214" spans="1:23" ht="140">
      <c r="A214" s="47" t="s">
        <v>653</v>
      </c>
      <c r="B214" s="47" t="s">
        <v>65</v>
      </c>
      <c r="C214" s="49" t="s">
        <v>587</v>
      </c>
      <c r="D214" s="52" t="s">
        <v>643</v>
      </c>
      <c r="E214" s="49" t="s">
        <v>7</v>
      </c>
      <c r="F214" s="52" t="s">
        <v>654</v>
      </c>
      <c r="G214" s="59" t="s">
        <v>7</v>
      </c>
      <c r="H214" s="53" t="b">
        <f ca="1">IFERROR(__xludf.DUMMYFUNCTION("if($G214="""",false, if(isna(match(H$2, split($G214:$G383,"", "",False),0)),false,true))"),FALSE)</f>
        <v>0</v>
      </c>
      <c r="I214" s="53" t="b">
        <f ca="1">IFERROR(__xludf.DUMMYFUNCTION("if($G214="""",false, if(isna(match(I$2, split($G214:$G383,"", "",False),0)),false,true))"),FALSE)</f>
        <v>0</v>
      </c>
      <c r="J214" s="53" t="b">
        <f ca="1">IFERROR(__xludf.DUMMYFUNCTION("if($G214="""",false, if(isna(match(J$2, split($G214:$G383,"", "",False),0)),false,true))"),FALSE)</f>
        <v>0</v>
      </c>
      <c r="K214" s="53" t="b">
        <f ca="1">IFERROR(__xludf.DUMMYFUNCTION("if($G214="""",false, if(isna(match(K$2, split($G214:$G383,"", "",False),0)),false,true))"),FALSE)</f>
        <v>0</v>
      </c>
      <c r="L214" s="53" t="b">
        <f ca="1">IFERROR(__xludf.DUMMYFUNCTION("if($G214="""",false, if(isna(match(L$2, split($G214:$G383,"", "",False),0)),false,true))"),FALSE)</f>
        <v>0</v>
      </c>
      <c r="M214" s="53" t="b">
        <f ca="1">IFERROR(__xludf.DUMMYFUNCTION("if($G214="""",false, if(isna(match(M$2, split($G214:$G383,"", "",False),0)),false,true))"),FALSE)</f>
        <v>0</v>
      </c>
      <c r="N214" s="53" t="b">
        <f ca="1">IFERROR(__xludf.DUMMYFUNCTION("if($G214="""",false, if(isna(match(N$2, split($G214:$G383,"", "",False),0)),false,true))"),FALSE)</f>
        <v>0</v>
      </c>
      <c r="O214" s="53" t="b">
        <f ca="1">IFERROR(__xludf.DUMMYFUNCTION("if($G214="""",false, if(isna(match(O$2, split($G214:$G383,"", "",False),0)),false,true))"),FALSE)</f>
        <v>0</v>
      </c>
      <c r="P214" s="53" t="b">
        <f ca="1">IFERROR(__xludf.DUMMYFUNCTION("if($G214="""",false, if(isna(match(P$2, split($G214:$G383,"", "",False),0)),false,true))"),FALSE)</f>
        <v>0</v>
      </c>
      <c r="Q214" s="53" t="b">
        <f ca="1">IFERROR(__xludf.DUMMYFUNCTION("if($G214="""",false, if(isna(match(Q$2, split($G214:$G383,"", "",False),0)),false,true))"),FALSE)</f>
        <v>0</v>
      </c>
      <c r="R214" s="53" t="b">
        <f ca="1">IFERROR(__xludf.DUMMYFUNCTION("if($G214="""",false, if(isna(match(R$2, split($G214:$G383,"", "",False),0)),false,true))"),FALSE)</f>
        <v>0</v>
      </c>
      <c r="S214" s="53" t="b">
        <f ca="1">IFERROR(__xludf.DUMMYFUNCTION("if($G214="""",false, if(isna(match(S$2, split($G214:$G383,"", "",False),0)),false,true))"),FALSE)</f>
        <v>0</v>
      </c>
      <c r="T214" s="53" t="b">
        <f ca="1">IFERROR(__xludf.DUMMYFUNCTION("if($G214="""",false, if(isna(match(T$2, split($G214:$G383,"", "",False),0)),false,true))"),FALSE)</f>
        <v>0</v>
      </c>
      <c r="U214" s="53" t="b">
        <f ca="1">IFERROR(__xludf.DUMMYFUNCTION("if($G214="""",false, if(isna(match(U$2, split($G214:$G383,"", "",False),0)),false,true))"),FALSE)</f>
        <v>0</v>
      </c>
      <c r="V214" s="53" t="b">
        <f ca="1">IFERROR(__xludf.DUMMYFUNCTION("if($G214="""",false, if(isna(match(V$2, split($G214:$G383,"", "",False),0)),false,true))"),FALSE)</f>
        <v>0</v>
      </c>
      <c r="W214" s="57" t="b">
        <f ca="1">IFERROR(__xludf.DUMMYFUNCTION("if($G214="""",false, if(isna(match(W$2, split($G214:$G383,"", "",False),0)),false,true))"),FALSE)</f>
        <v>0</v>
      </c>
    </row>
    <row r="215" spans="1:23" ht="28">
      <c r="A215" s="47" t="s">
        <v>655</v>
      </c>
      <c r="B215" s="47" t="s">
        <v>65</v>
      </c>
      <c r="C215" s="49" t="s">
        <v>587</v>
      </c>
      <c r="D215" s="52" t="s">
        <v>643</v>
      </c>
      <c r="E215" s="49" t="s">
        <v>7</v>
      </c>
      <c r="F215" s="52" t="s">
        <v>656</v>
      </c>
      <c r="G215" s="59" t="s">
        <v>7</v>
      </c>
      <c r="H215" s="53" t="b">
        <f ca="1">IFERROR(__xludf.DUMMYFUNCTION("if($G215="""",false, if(isna(match(H$2, split($G215:$G383,"", "",False),0)),false,true))"),FALSE)</f>
        <v>0</v>
      </c>
      <c r="I215" s="53" t="b">
        <f ca="1">IFERROR(__xludf.DUMMYFUNCTION("if($G215="""",false, if(isna(match(I$2, split($G215:$G383,"", "",False),0)),false,true))"),FALSE)</f>
        <v>0</v>
      </c>
      <c r="J215" s="53" t="b">
        <f ca="1">IFERROR(__xludf.DUMMYFUNCTION("if($G215="""",false, if(isna(match(J$2, split($G215:$G383,"", "",False),0)),false,true))"),FALSE)</f>
        <v>0</v>
      </c>
      <c r="K215" s="53" t="b">
        <f ca="1">IFERROR(__xludf.DUMMYFUNCTION("if($G215="""",false, if(isna(match(K$2, split($G215:$G383,"", "",False),0)),false,true))"),FALSE)</f>
        <v>0</v>
      </c>
      <c r="L215" s="53" t="b">
        <f ca="1">IFERROR(__xludf.DUMMYFUNCTION("if($G215="""",false, if(isna(match(L$2, split($G215:$G383,"", "",False),0)),false,true))"),FALSE)</f>
        <v>0</v>
      </c>
      <c r="M215" s="53" t="b">
        <f ca="1">IFERROR(__xludf.DUMMYFUNCTION("if($G215="""",false, if(isna(match(M$2, split($G215:$G383,"", "",False),0)),false,true))"),FALSE)</f>
        <v>0</v>
      </c>
      <c r="N215" s="53" t="b">
        <f ca="1">IFERROR(__xludf.DUMMYFUNCTION("if($G215="""",false, if(isna(match(N$2, split($G215:$G383,"", "",False),0)),false,true))"),FALSE)</f>
        <v>0</v>
      </c>
      <c r="O215" s="53" t="b">
        <f ca="1">IFERROR(__xludf.DUMMYFUNCTION("if($G215="""",false, if(isna(match(O$2, split($G215:$G383,"", "",False),0)),false,true))"),FALSE)</f>
        <v>0</v>
      </c>
      <c r="P215" s="53" t="b">
        <f ca="1">IFERROR(__xludf.DUMMYFUNCTION("if($G215="""",false, if(isna(match(P$2, split($G215:$G383,"", "",False),0)),false,true))"),FALSE)</f>
        <v>0</v>
      </c>
      <c r="Q215" s="53" t="b">
        <f ca="1">IFERROR(__xludf.DUMMYFUNCTION("if($G215="""",false, if(isna(match(Q$2, split($G215:$G383,"", "",False),0)),false,true))"),FALSE)</f>
        <v>0</v>
      </c>
      <c r="R215" s="53" t="b">
        <f ca="1">IFERROR(__xludf.DUMMYFUNCTION("if($G215="""",false, if(isna(match(R$2, split($G215:$G383,"", "",False),0)),false,true))"),FALSE)</f>
        <v>0</v>
      </c>
      <c r="S215" s="53" t="b">
        <f ca="1">IFERROR(__xludf.DUMMYFUNCTION("if($G215="""",false, if(isna(match(S$2, split($G215:$G383,"", "",False),0)),false,true))"),FALSE)</f>
        <v>0</v>
      </c>
      <c r="T215" s="53" t="b">
        <f ca="1">IFERROR(__xludf.DUMMYFUNCTION("if($G215="""",false, if(isna(match(T$2, split($G215:$G383,"", "",False),0)),false,true))"),FALSE)</f>
        <v>0</v>
      </c>
      <c r="U215" s="53" t="b">
        <f ca="1">IFERROR(__xludf.DUMMYFUNCTION("if($G215="""",false, if(isna(match(U$2, split($G215:$G383,"", "",False),0)),false,true))"),FALSE)</f>
        <v>0</v>
      </c>
      <c r="V215" s="53" t="b">
        <f ca="1">IFERROR(__xludf.DUMMYFUNCTION("if($G215="""",false, if(isna(match(V$2, split($G215:$G383,"", "",False),0)),false,true))"),FALSE)</f>
        <v>0</v>
      </c>
      <c r="W215" s="57" t="b">
        <f ca="1">IFERROR(__xludf.DUMMYFUNCTION("if($G215="""",false, if(isna(match(W$2, split($G215:$G383,"", "",False),0)),false,true))"),FALSE)</f>
        <v>0</v>
      </c>
    </row>
    <row r="216" spans="1:23" ht="28">
      <c r="A216" s="47" t="s">
        <v>657</v>
      </c>
      <c r="B216" s="47" t="s">
        <v>65</v>
      </c>
      <c r="C216" s="49" t="s">
        <v>587</v>
      </c>
      <c r="D216" s="52" t="s">
        <v>643</v>
      </c>
      <c r="E216" s="49" t="s">
        <v>7</v>
      </c>
      <c r="F216" s="52" t="s">
        <v>658</v>
      </c>
      <c r="G216" s="59" t="s">
        <v>7</v>
      </c>
      <c r="H216" s="53" t="b">
        <f ca="1">IFERROR(__xludf.DUMMYFUNCTION("if($G216="""",false, if(isna(match(H$2, split($G216:$G383,"", "",False),0)),false,true))"),FALSE)</f>
        <v>0</v>
      </c>
      <c r="I216" s="53" t="b">
        <f ca="1">IFERROR(__xludf.DUMMYFUNCTION("if($G216="""",false, if(isna(match(I$2, split($G216:$G383,"", "",False),0)),false,true))"),FALSE)</f>
        <v>0</v>
      </c>
      <c r="J216" s="53" t="b">
        <f ca="1">IFERROR(__xludf.DUMMYFUNCTION("if($G216="""",false, if(isna(match(J$2, split($G216:$G383,"", "",False),0)),false,true))"),FALSE)</f>
        <v>0</v>
      </c>
      <c r="K216" s="53" t="b">
        <f ca="1">IFERROR(__xludf.DUMMYFUNCTION("if($G216="""",false, if(isna(match(K$2, split($G216:$G383,"", "",False),0)),false,true))"),FALSE)</f>
        <v>0</v>
      </c>
      <c r="L216" s="53" t="b">
        <f ca="1">IFERROR(__xludf.DUMMYFUNCTION("if($G216="""",false, if(isna(match(L$2, split($G216:$G383,"", "",False),0)),false,true))"),FALSE)</f>
        <v>0</v>
      </c>
      <c r="M216" s="53" t="b">
        <f ca="1">IFERROR(__xludf.DUMMYFUNCTION("if($G216="""",false, if(isna(match(M$2, split($G216:$G383,"", "",False),0)),false,true))"),FALSE)</f>
        <v>0</v>
      </c>
      <c r="N216" s="53" t="b">
        <f ca="1">IFERROR(__xludf.DUMMYFUNCTION("if($G216="""",false, if(isna(match(N$2, split($G216:$G383,"", "",False),0)),false,true))"),FALSE)</f>
        <v>0</v>
      </c>
      <c r="O216" s="53" t="b">
        <f ca="1">IFERROR(__xludf.DUMMYFUNCTION("if($G216="""",false, if(isna(match(O$2, split($G216:$G383,"", "",False),0)),false,true))"),FALSE)</f>
        <v>0</v>
      </c>
      <c r="P216" s="53" t="b">
        <f ca="1">IFERROR(__xludf.DUMMYFUNCTION("if($G216="""",false, if(isna(match(P$2, split($G216:$G383,"", "",False),0)),false,true))"),FALSE)</f>
        <v>0</v>
      </c>
      <c r="Q216" s="53" t="b">
        <f ca="1">IFERROR(__xludf.DUMMYFUNCTION("if($G216="""",false, if(isna(match(Q$2, split($G216:$G383,"", "",False),0)),false,true))"),FALSE)</f>
        <v>0</v>
      </c>
      <c r="R216" s="53" t="b">
        <f ca="1">IFERROR(__xludf.DUMMYFUNCTION("if($G216="""",false, if(isna(match(R$2, split($G216:$G383,"", "",False),0)),false,true))"),FALSE)</f>
        <v>0</v>
      </c>
      <c r="S216" s="53" t="b">
        <f ca="1">IFERROR(__xludf.DUMMYFUNCTION("if($G216="""",false, if(isna(match(S$2, split($G216:$G383,"", "",False),0)),false,true))"),FALSE)</f>
        <v>0</v>
      </c>
      <c r="T216" s="53" t="b">
        <f ca="1">IFERROR(__xludf.DUMMYFUNCTION("if($G216="""",false, if(isna(match(T$2, split($G216:$G383,"", "",False),0)),false,true))"),FALSE)</f>
        <v>0</v>
      </c>
      <c r="U216" s="53" t="b">
        <f ca="1">IFERROR(__xludf.DUMMYFUNCTION("if($G216="""",false, if(isna(match(U$2, split($G216:$G383,"", "",False),0)),false,true))"),FALSE)</f>
        <v>0</v>
      </c>
      <c r="V216" s="53" t="b">
        <f ca="1">IFERROR(__xludf.DUMMYFUNCTION("if($G216="""",false, if(isna(match(V$2, split($G216:$G383,"", "",False),0)),false,true))"),FALSE)</f>
        <v>0</v>
      </c>
      <c r="W216" s="57" t="b">
        <f ca="1">IFERROR(__xludf.DUMMYFUNCTION("if($G216="""",false, if(isna(match(W$2, split($G216:$G383,"", "",False),0)),false,true))"),FALSE)</f>
        <v>0</v>
      </c>
    </row>
    <row r="217" spans="1:23" ht="28">
      <c r="A217" s="47" t="s">
        <v>659</v>
      </c>
      <c r="B217" s="47" t="s">
        <v>65</v>
      </c>
      <c r="C217" s="49" t="s">
        <v>587</v>
      </c>
      <c r="D217" s="52" t="s">
        <v>643</v>
      </c>
      <c r="E217" s="49" t="s">
        <v>660</v>
      </c>
      <c r="F217" s="52" t="s">
        <v>661</v>
      </c>
      <c r="G217" s="59" t="s">
        <v>7</v>
      </c>
      <c r="H217" s="53" t="b">
        <f ca="1">IFERROR(__xludf.DUMMYFUNCTION("if($G217="""",false, if(isna(match(H$2, split($G217:$G383,"", "",False),0)),false,true))"),FALSE)</f>
        <v>0</v>
      </c>
      <c r="I217" s="53" t="b">
        <f ca="1">IFERROR(__xludf.DUMMYFUNCTION("if($G217="""",false, if(isna(match(I$2, split($G217:$G383,"", "",False),0)),false,true))"),FALSE)</f>
        <v>0</v>
      </c>
      <c r="J217" s="53" t="b">
        <f ca="1">IFERROR(__xludf.DUMMYFUNCTION("if($G217="""",false, if(isna(match(J$2, split($G217:$G383,"", "",False),0)),false,true))"),FALSE)</f>
        <v>0</v>
      </c>
      <c r="K217" s="53" t="b">
        <f ca="1">IFERROR(__xludf.DUMMYFUNCTION("if($G217="""",false, if(isna(match(K$2, split($G217:$G383,"", "",False),0)),false,true))"),FALSE)</f>
        <v>0</v>
      </c>
      <c r="L217" s="53" t="b">
        <f ca="1">IFERROR(__xludf.DUMMYFUNCTION("if($G217="""",false, if(isna(match(L$2, split($G217:$G383,"", "",False),0)),false,true))"),FALSE)</f>
        <v>0</v>
      </c>
      <c r="M217" s="53" t="b">
        <f ca="1">IFERROR(__xludf.DUMMYFUNCTION("if($G217="""",false, if(isna(match(M$2, split($G217:$G383,"", "",False),0)),false,true))"),FALSE)</f>
        <v>0</v>
      </c>
      <c r="N217" s="53" t="b">
        <f ca="1">IFERROR(__xludf.DUMMYFUNCTION("if($G217="""",false, if(isna(match(N$2, split($G217:$G383,"", "",False),0)),false,true))"),FALSE)</f>
        <v>0</v>
      </c>
      <c r="O217" s="53" t="b">
        <f ca="1">IFERROR(__xludf.DUMMYFUNCTION("if($G217="""",false, if(isna(match(O$2, split($G217:$G383,"", "",False),0)),false,true))"),FALSE)</f>
        <v>0</v>
      </c>
      <c r="P217" s="53" t="b">
        <f ca="1">IFERROR(__xludf.DUMMYFUNCTION("if($G217="""",false, if(isna(match(P$2, split($G217:$G383,"", "",False),0)),false,true))"),FALSE)</f>
        <v>0</v>
      </c>
      <c r="Q217" s="53" t="b">
        <f ca="1">IFERROR(__xludf.DUMMYFUNCTION("if($G217="""",false, if(isna(match(Q$2, split($G217:$G383,"", "",False),0)),false,true))"),FALSE)</f>
        <v>0</v>
      </c>
      <c r="R217" s="53" t="b">
        <f ca="1">IFERROR(__xludf.DUMMYFUNCTION("if($G217="""",false, if(isna(match(R$2, split($G217:$G383,"", "",False),0)),false,true))"),FALSE)</f>
        <v>0</v>
      </c>
      <c r="S217" s="53" t="b">
        <f ca="1">IFERROR(__xludf.DUMMYFUNCTION("if($G217="""",false, if(isna(match(S$2, split($G217:$G383,"", "",False),0)),false,true))"),FALSE)</f>
        <v>0</v>
      </c>
      <c r="T217" s="53" t="b">
        <f ca="1">IFERROR(__xludf.DUMMYFUNCTION("if($G217="""",false, if(isna(match(T$2, split($G217:$G383,"", "",False),0)),false,true))"),FALSE)</f>
        <v>0</v>
      </c>
      <c r="U217" s="53" t="b">
        <f ca="1">IFERROR(__xludf.DUMMYFUNCTION("if($G217="""",false, if(isna(match(U$2, split($G217:$G383,"", "",False),0)),false,true))"),FALSE)</f>
        <v>0</v>
      </c>
      <c r="V217" s="53" t="b">
        <f ca="1">IFERROR(__xludf.DUMMYFUNCTION("if($G217="""",false, if(isna(match(V$2, split($G217:$G383,"", "",False),0)),false,true))"),FALSE)</f>
        <v>0</v>
      </c>
      <c r="W217" s="57" t="b">
        <f ca="1">IFERROR(__xludf.DUMMYFUNCTION("if($G217="""",false, if(isna(match(W$2, split($G217:$G383,"", "",False),0)),false,true))"),FALSE)</f>
        <v>0</v>
      </c>
    </row>
    <row r="218" spans="1:23" ht="28">
      <c r="A218" s="47" t="s">
        <v>662</v>
      </c>
      <c r="B218" s="47" t="s">
        <v>65</v>
      </c>
      <c r="C218" s="49" t="s">
        <v>587</v>
      </c>
      <c r="D218" s="52" t="s">
        <v>643</v>
      </c>
      <c r="E218" s="49" t="s">
        <v>660</v>
      </c>
      <c r="F218" s="52" t="s">
        <v>663</v>
      </c>
      <c r="G218" s="59" t="s">
        <v>7</v>
      </c>
      <c r="H218" s="53" t="b">
        <f ca="1">IFERROR(__xludf.DUMMYFUNCTION("if($G218="""",false, if(isna(match(H$2, split($G218:$G383,"", "",False),0)),false,true))"),FALSE)</f>
        <v>0</v>
      </c>
      <c r="I218" s="53" t="b">
        <f ca="1">IFERROR(__xludf.DUMMYFUNCTION("if($G218="""",false, if(isna(match(I$2, split($G218:$G383,"", "",False),0)),false,true))"),FALSE)</f>
        <v>0</v>
      </c>
      <c r="J218" s="53" t="b">
        <f ca="1">IFERROR(__xludf.DUMMYFUNCTION("if($G218="""",false, if(isna(match(J$2, split($G218:$G383,"", "",False),0)),false,true))"),FALSE)</f>
        <v>0</v>
      </c>
      <c r="K218" s="53" t="b">
        <f ca="1">IFERROR(__xludf.DUMMYFUNCTION("if($G218="""",false, if(isna(match(K$2, split($G218:$G383,"", "",False),0)),false,true))"),FALSE)</f>
        <v>0</v>
      </c>
      <c r="L218" s="53" t="b">
        <f ca="1">IFERROR(__xludf.DUMMYFUNCTION("if($G218="""",false, if(isna(match(L$2, split($G218:$G383,"", "",False),0)),false,true))"),FALSE)</f>
        <v>0</v>
      </c>
      <c r="M218" s="53" t="b">
        <f ca="1">IFERROR(__xludf.DUMMYFUNCTION("if($G218="""",false, if(isna(match(M$2, split($G218:$G383,"", "",False),0)),false,true))"),FALSE)</f>
        <v>0</v>
      </c>
      <c r="N218" s="53" t="b">
        <f ca="1">IFERROR(__xludf.DUMMYFUNCTION("if($G218="""",false, if(isna(match(N$2, split($G218:$G383,"", "",False),0)),false,true))"),FALSE)</f>
        <v>0</v>
      </c>
      <c r="O218" s="53" t="b">
        <f ca="1">IFERROR(__xludf.DUMMYFUNCTION("if($G218="""",false, if(isna(match(O$2, split($G218:$G383,"", "",False),0)),false,true))"),FALSE)</f>
        <v>0</v>
      </c>
      <c r="P218" s="53" t="b">
        <f ca="1">IFERROR(__xludf.DUMMYFUNCTION("if($G218="""",false, if(isna(match(P$2, split($G218:$G383,"", "",False),0)),false,true))"),FALSE)</f>
        <v>0</v>
      </c>
      <c r="Q218" s="53" t="b">
        <f ca="1">IFERROR(__xludf.DUMMYFUNCTION("if($G218="""",false, if(isna(match(Q$2, split($G218:$G383,"", "",False),0)),false,true))"),FALSE)</f>
        <v>0</v>
      </c>
      <c r="R218" s="53" t="b">
        <f ca="1">IFERROR(__xludf.DUMMYFUNCTION("if($G218="""",false, if(isna(match(R$2, split($G218:$G383,"", "",False),0)),false,true))"),FALSE)</f>
        <v>0</v>
      </c>
      <c r="S218" s="53" t="b">
        <f ca="1">IFERROR(__xludf.DUMMYFUNCTION("if($G218="""",false, if(isna(match(S$2, split($G218:$G383,"", "",False),0)),false,true))"),FALSE)</f>
        <v>0</v>
      </c>
      <c r="T218" s="53" t="b">
        <f ca="1">IFERROR(__xludf.DUMMYFUNCTION("if($G218="""",false, if(isna(match(T$2, split($G218:$G383,"", "",False),0)),false,true))"),FALSE)</f>
        <v>0</v>
      </c>
      <c r="U218" s="53" t="b">
        <f ca="1">IFERROR(__xludf.DUMMYFUNCTION("if($G218="""",false, if(isna(match(U$2, split($G218:$G383,"", "",False),0)),false,true))"),FALSE)</f>
        <v>0</v>
      </c>
      <c r="V218" s="53" t="b">
        <f ca="1">IFERROR(__xludf.DUMMYFUNCTION("if($G218="""",false, if(isna(match(V$2, split($G218:$G383,"", "",False),0)),false,true))"),FALSE)</f>
        <v>0</v>
      </c>
      <c r="W218" s="57" t="b">
        <f ca="1">IFERROR(__xludf.DUMMYFUNCTION("if($G218="""",false, if(isna(match(W$2, split($G218:$G383,"", "",False),0)),false,true))"),FALSE)</f>
        <v>0</v>
      </c>
    </row>
    <row r="219" spans="1:23" ht="126">
      <c r="A219" s="47" t="s">
        <v>664</v>
      </c>
      <c r="B219" s="47" t="s">
        <v>65</v>
      </c>
      <c r="C219" s="49" t="s">
        <v>587</v>
      </c>
      <c r="D219" s="52" t="s">
        <v>643</v>
      </c>
      <c r="E219" s="49" t="s">
        <v>524</v>
      </c>
      <c r="F219" s="52" t="s">
        <v>665</v>
      </c>
      <c r="G219" s="59" t="s">
        <v>389</v>
      </c>
      <c r="H219" s="53" t="b">
        <f ca="1">IFERROR(__xludf.DUMMYFUNCTION("if($G219="""",false, if(isna(match(H$2, split($G219:$G383,"", "",False),0)),false,true))"),FALSE)</f>
        <v>0</v>
      </c>
      <c r="I219" s="53" t="b">
        <f ca="1">IFERROR(__xludf.DUMMYFUNCTION("if($G219="""",false, if(isna(match(I$2, split($G219:$G383,"", "",False),0)),false,true))"),FALSE)</f>
        <v>0</v>
      </c>
      <c r="J219" s="53" t="b">
        <f ca="1">IFERROR(__xludf.DUMMYFUNCTION("if($G219="""",false, if(isna(match(J$2, split($G219:$G383,"", "",False),0)),false,true))"),FALSE)</f>
        <v>0</v>
      </c>
      <c r="K219" s="53" t="b">
        <f ca="1">IFERROR(__xludf.DUMMYFUNCTION("if($G219="""",false, if(isna(match(K$2, split($G219:$G383,"", "",False),0)),false,true))"),FALSE)</f>
        <v>0</v>
      </c>
      <c r="L219" s="53" t="b">
        <f ca="1">IFERROR(__xludf.DUMMYFUNCTION("if($G219="""",false, if(isna(match(L$2, split($G219:$G383,"", "",False),0)),false,true))"),FALSE)</f>
        <v>0</v>
      </c>
      <c r="M219" s="53" t="b">
        <f ca="1">IFERROR(__xludf.DUMMYFUNCTION("if($G219="""",false, if(isna(match(M$2, split($G219:$G383,"", "",False),0)),false,true))"),FALSE)</f>
        <v>0</v>
      </c>
      <c r="N219" s="53" t="b">
        <f ca="1">IFERROR(__xludf.DUMMYFUNCTION("if($G219="""",false, if(isna(match(N$2, split($G219:$G383,"", "",False),0)),false,true))"),FALSE)</f>
        <v>0</v>
      </c>
      <c r="O219" s="53" t="b">
        <f ca="1">IFERROR(__xludf.DUMMYFUNCTION("if($G219="""",false, if(isna(match(O$2, split($G219:$G383,"", "",False),0)),false,true))"),FALSE)</f>
        <v>0</v>
      </c>
      <c r="P219" s="53" t="b">
        <f ca="1">IFERROR(__xludf.DUMMYFUNCTION("if($G219="""",false, if(isna(match(P$2, split($G219:$G383,"", "",False),0)),false,true))"),FALSE)</f>
        <v>0</v>
      </c>
      <c r="Q219" s="53" t="b">
        <f ca="1">IFERROR(__xludf.DUMMYFUNCTION("if($G219="""",false, if(isna(match(Q$2, split($G219:$G383,"", "",False),0)),false,true))"),FALSE)</f>
        <v>0</v>
      </c>
      <c r="R219" s="53" t="b">
        <f ca="1">IFERROR(__xludf.DUMMYFUNCTION("if($G219="""",false, if(isna(match(R$2, split($G219:$G383,"", "",False),0)),false,true))"),FALSE)</f>
        <v>0</v>
      </c>
      <c r="S219" s="53" t="b">
        <f ca="1">IFERROR(__xludf.DUMMYFUNCTION("if($G219="""",false, if(isna(match(S$2, split($G219:$G383,"", "",False),0)),false,true))"),FALSE)</f>
        <v>0</v>
      </c>
      <c r="T219" s="53" t="b">
        <f ca="1">IFERROR(__xludf.DUMMYFUNCTION("if($G219="""",false, if(isna(match(T$2, split($G219:$G383,"", "",False),0)),false,true))"),FALSE)</f>
        <v>0</v>
      </c>
      <c r="U219" s="53" t="b">
        <f ca="1">IFERROR(__xludf.DUMMYFUNCTION("if($G219="""",false, if(isna(match(U$2, split($G219:$G383,"", "",False),0)),false,true))"),FALSE)</f>
        <v>0</v>
      </c>
      <c r="V219" s="53" t="b">
        <f ca="1">IFERROR(__xludf.DUMMYFUNCTION("if($G219="""",false, if(isna(match(V$2, split($G219:$G383,"", "",False),0)),false,true))"),FALSE)</f>
        <v>0</v>
      </c>
      <c r="W219" s="57" t="b">
        <f ca="1">IFERROR(__xludf.DUMMYFUNCTION("if($G219="""",false, if(isna(match(W$2, split($G219:$G383,"", "",False),0)),false,true))"),FALSE)</f>
        <v>0</v>
      </c>
    </row>
    <row r="220" spans="1:23" ht="154">
      <c r="A220" s="47" t="s">
        <v>666</v>
      </c>
      <c r="B220" s="47" t="s">
        <v>65</v>
      </c>
      <c r="C220" s="49" t="s">
        <v>587</v>
      </c>
      <c r="D220" s="52" t="s">
        <v>643</v>
      </c>
      <c r="E220" s="49" t="s">
        <v>524</v>
      </c>
      <c r="F220" s="52" t="s">
        <v>667</v>
      </c>
      <c r="G220" s="59" t="s">
        <v>377</v>
      </c>
      <c r="H220" s="53" t="b">
        <f ca="1">IFERROR(__xludf.DUMMYFUNCTION("if($G220="""",false, if(isna(match(H$2, split($G220:$G383,"", "",False),0)),false,true))"),FALSE)</f>
        <v>0</v>
      </c>
      <c r="I220" s="53" t="b">
        <f ca="1">IFERROR(__xludf.DUMMYFUNCTION("if($G220="""",false, if(isna(match(I$2, split($G220:$G383,"", "",False),0)),false,true))"),FALSE)</f>
        <v>0</v>
      </c>
      <c r="J220" s="53" t="b">
        <f ca="1">IFERROR(__xludf.DUMMYFUNCTION("if($G220="""",false, if(isna(match(J$2, split($G220:$G383,"", "",False),0)),false,true))"),FALSE)</f>
        <v>0</v>
      </c>
      <c r="K220" s="53" t="b">
        <f ca="1">IFERROR(__xludf.DUMMYFUNCTION("if($G220="""",false, if(isna(match(K$2, split($G220:$G383,"", "",False),0)),false,true))"),FALSE)</f>
        <v>0</v>
      </c>
      <c r="L220" s="53" t="b">
        <f ca="1">IFERROR(__xludf.DUMMYFUNCTION("if($G220="""",false, if(isna(match(L$2, split($G220:$G383,"", "",False),0)),false,true))"),FALSE)</f>
        <v>0</v>
      </c>
      <c r="M220" s="53" t="b">
        <f ca="1">IFERROR(__xludf.DUMMYFUNCTION("if($G220="""",false, if(isna(match(M$2, split($G220:$G383,"", "",False),0)),false,true))"),FALSE)</f>
        <v>0</v>
      </c>
      <c r="N220" s="53" t="b">
        <f ca="1">IFERROR(__xludf.DUMMYFUNCTION("if($G220="""",false, if(isna(match(N$2, split($G220:$G383,"", "",False),0)),false,true))"),FALSE)</f>
        <v>0</v>
      </c>
      <c r="O220" s="53" t="b">
        <f ca="1">IFERROR(__xludf.DUMMYFUNCTION("if($G220="""",false, if(isna(match(O$2, split($G220:$G383,"", "",False),0)),false,true))"),FALSE)</f>
        <v>0</v>
      </c>
      <c r="P220" s="53" t="b">
        <f ca="1">IFERROR(__xludf.DUMMYFUNCTION("if($G220="""",false, if(isna(match(P$2, split($G220:$G383,"", "",False),0)),false,true))"),FALSE)</f>
        <v>0</v>
      </c>
      <c r="Q220" s="53" t="b">
        <f ca="1">IFERROR(__xludf.DUMMYFUNCTION("if($G220="""",false, if(isna(match(Q$2, split($G220:$G383,"", "",False),0)),false,true))"),FALSE)</f>
        <v>0</v>
      </c>
      <c r="R220" s="53" t="b">
        <f ca="1">IFERROR(__xludf.DUMMYFUNCTION("if($G220="""",false, if(isna(match(R$2, split($G220:$G383,"", "",False),0)),false,true))"),FALSE)</f>
        <v>0</v>
      </c>
      <c r="S220" s="53" t="b">
        <f ca="1">IFERROR(__xludf.DUMMYFUNCTION("if($G220="""",false, if(isna(match(S$2, split($G220:$G383,"", "",False),0)),false,true))"),FALSE)</f>
        <v>0</v>
      </c>
      <c r="T220" s="53" t="b">
        <f ca="1">IFERROR(__xludf.DUMMYFUNCTION("if($G220="""",false, if(isna(match(T$2, split($G220:$G383,"", "",False),0)),false,true))"),FALSE)</f>
        <v>0</v>
      </c>
      <c r="U220" s="53" t="b">
        <f ca="1">IFERROR(__xludf.DUMMYFUNCTION("if($G220="""",false, if(isna(match(U$2, split($G220:$G383,"", "",False),0)),false,true))"),FALSE)</f>
        <v>0</v>
      </c>
      <c r="V220" s="53" t="b">
        <f ca="1">IFERROR(__xludf.DUMMYFUNCTION("if($G220="""",false, if(isna(match(V$2, split($G220:$G383,"", "",False),0)),false,true))"),FALSE)</f>
        <v>0</v>
      </c>
      <c r="W220" s="57" t="b">
        <f ca="1">IFERROR(__xludf.DUMMYFUNCTION("if($G220="""",false, if(isna(match(W$2, split($G220:$G383,"", "",False),0)),false,true))"),FALSE)</f>
        <v>0</v>
      </c>
    </row>
    <row r="221" spans="1:23" ht="84">
      <c r="A221" s="47" t="s">
        <v>668</v>
      </c>
      <c r="B221" s="47" t="s">
        <v>65</v>
      </c>
      <c r="C221" s="49" t="s">
        <v>587</v>
      </c>
      <c r="D221" s="52" t="s">
        <v>669</v>
      </c>
      <c r="E221" s="49" t="s">
        <v>163</v>
      </c>
      <c r="F221" s="52" t="s">
        <v>670</v>
      </c>
      <c r="G221" s="59" t="s">
        <v>116</v>
      </c>
      <c r="H221" s="53" t="b">
        <f ca="1">IFERROR(__xludf.DUMMYFUNCTION("if($G221="""",false, if(isna(match(H$2, split($G221:$G383,"", "",False),0)),false,true))"),FALSE)</f>
        <v>0</v>
      </c>
      <c r="I221" s="53" t="b">
        <f ca="1">IFERROR(__xludf.DUMMYFUNCTION("if($G221="""",false, if(isna(match(I$2, split($G221:$G383,"", "",False),0)),false,true))"),FALSE)</f>
        <v>0</v>
      </c>
      <c r="J221" s="53" t="b">
        <f ca="1">IFERROR(__xludf.DUMMYFUNCTION("if($G221="""",false, if(isna(match(J$2, split($G221:$G383,"", "",False),0)),false,true))"),FALSE)</f>
        <v>0</v>
      </c>
      <c r="K221" s="53" t="b">
        <f ca="1">IFERROR(__xludf.DUMMYFUNCTION("if($G221="""",false, if(isna(match(K$2, split($G221:$G383,"", "",False),0)),false,true))"),FALSE)</f>
        <v>0</v>
      </c>
      <c r="L221" s="53" t="b">
        <f ca="1">IFERROR(__xludf.DUMMYFUNCTION("if($G221="""",false, if(isna(match(L$2, split($G221:$G383,"", "",False),0)),false,true))"),FALSE)</f>
        <v>0</v>
      </c>
      <c r="M221" s="53" t="b">
        <f ca="1">IFERROR(__xludf.DUMMYFUNCTION("if($G221="""",false, if(isna(match(M$2, split($G221:$G383,"", "",False),0)),false,true))"),FALSE)</f>
        <v>0</v>
      </c>
      <c r="N221" s="53" t="b">
        <f ca="1">IFERROR(__xludf.DUMMYFUNCTION("if($G221="""",false, if(isna(match(N$2, split($G221:$G383,"", "",False),0)),false,true))"),FALSE)</f>
        <v>0</v>
      </c>
      <c r="O221" s="53" t="b">
        <f ca="1">IFERROR(__xludf.DUMMYFUNCTION("if($G221="""",false, if(isna(match(O$2, split($G221:$G383,"", "",False),0)),false,true))"),FALSE)</f>
        <v>0</v>
      </c>
      <c r="P221" s="53" t="b">
        <f ca="1">IFERROR(__xludf.DUMMYFUNCTION("if($G221="""",false, if(isna(match(P$2, split($G221:$G383,"", "",False),0)),false,true))"),TRUE)</f>
        <v>1</v>
      </c>
      <c r="Q221" s="53" t="b">
        <f ca="1">IFERROR(__xludf.DUMMYFUNCTION("if($G221="""",false, if(isna(match(Q$2, split($G221:$G383,"", "",False),0)),false,true))"),FALSE)</f>
        <v>0</v>
      </c>
      <c r="R221" s="53" t="b">
        <f ca="1">IFERROR(__xludf.DUMMYFUNCTION("if($G221="""",false, if(isna(match(R$2, split($G221:$G383,"", "",False),0)),false,true))"),FALSE)</f>
        <v>0</v>
      </c>
      <c r="S221" s="53" t="b">
        <f ca="1">IFERROR(__xludf.DUMMYFUNCTION("if($G221="""",false, if(isna(match(S$2, split($G221:$G383,"", "",False),0)),false,true))"),FALSE)</f>
        <v>0</v>
      </c>
      <c r="T221" s="53" t="b">
        <f ca="1">IFERROR(__xludf.DUMMYFUNCTION("if($G221="""",false, if(isna(match(T$2, split($G221:$G383,"", "",False),0)),false,true))"),FALSE)</f>
        <v>0</v>
      </c>
      <c r="U221" s="53" t="b">
        <f ca="1">IFERROR(__xludf.DUMMYFUNCTION("if($G221="""",false, if(isna(match(U$2, split($G221:$G383,"", "",False),0)),false,true))"),FALSE)</f>
        <v>0</v>
      </c>
      <c r="V221" s="53" t="b">
        <f ca="1">IFERROR(__xludf.DUMMYFUNCTION("if($G221="""",false, if(isna(match(V$2, split($G221:$G383,"", "",False),0)),false,true))"),FALSE)</f>
        <v>0</v>
      </c>
      <c r="W221" s="57" t="b">
        <f ca="1">IFERROR(__xludf.DUMMYFUNCTION("if($G221="""",false, if(isna(match(W$2, split($G221:$G383,"", "",False),0)),false,true))"),FALSE)</f>
        <v>0</v>
      </c>
    </row>
    <row r="222" spans="1:23" ht="28">
      <c r="A222" s="47" t="s">
        <v>671</v>
      </c>
      <c r="B222" s="47" t="s">
        <v>65</v>
      </c>
      <c r="C222" s="49" t="s">
        <v>587</v>
      </c>
      <c r="D222" s="52" t="s">
        <v>669</v>
      </c>
      <c r="E222" s="49" t="s">
        <v>672</v>
      </c>
      <c r="F222" s="52" t="s">
        <v>673</v>
      </c>
      <c r="G222" s="59" t="s">
        <v>110</v>
      </c>
      <c r="H222" s="53" t="b">
        <f ca="1">IFERROR(__xludf.DUMMYFUNCTION("if($G222="""",false, if(isna(match(H$2, split($G222:$G383,"", "",False),0)),false,true))"),FALSE)</f>
        <v>0</v>
      </c>
      <c r="I222" s="53" t="b">
        <f ca="1">IFERROR(__xludf.DUMMYFUNCTION("if($G222="""",false, if(isna(match(I$2, split($G222:$G383,"", "",False),0)),false,true))"),FALSE)</f>
        <v>0</v>
      </c>
      <c r="J222" s="53" t="b">
        <f ca="1">IFERROR(__xludf.DUMMYFUNCTION("if($G222="""",false, if(isna(match(J$2, split($G222:$G383,"", "",False),0)),false,true))"),TRUE)</f>
        <v>1</v>
      </c>
      <c r="K222" s="53" t="b">
        <f ca="1">IFERROR(__xludf.DUMMYFUNCTION("if($G222="""",false, if(isna(match(K$2, split($G222:$G383,"", "",False),0)),false,true))"),FALSE)</f>
        <v>0</v>
      </c>
      <c r="L222" s="53" t="b">
        <f ca="1">IFERROR(__xludf.DUMMYFUNCTION("if($G222="""",false, if(isna(match(L$2, split($G222:$G383,"", "",False),0)),false,true))"),FALSE)</f>
        <v>0</v>
      </c>
      <c r="M222" s="53" t="b">
        <f ca="1">IFERROR(__xludf.DUMMYFUNCTION("if($G222="""",false, if(isna(match(M$2, split($G222:$G383,"", "",False),0)),false,true))"),FALSE)</f>
        <v>0</v>
      </c>
      <c r="N222" s="53" t="b">
        <f ca="1">IFERROR(__xludf.DUMMYFUNCTION("if($G222="""",false, if(isna(match(N$2, split($G222:$G383,"", "",False),0)),false,true))"),FALSE)</f>
        <v>0</v>
      </c>
      <c r="O222" s="53" t="b">
        <f ca="1">IFERROR(__xludf.DUMMYFUNCTION("if($G222="""",false, if(isna(match(O$2, split($G222:$G383,"", "",False),0)),false,true))"),FALSE)</f>
        <v>0</v>
      </c>
      <c r="P222" s="53" t="b">
        <f ca="1">IFERROR(__xludf.DUMMYFUNCTION("if($G222="""",false, if(isna(match(P$2, split($G222:$G383,"", "",False),0)),false,true))"),FALSE)</f>
        <v>0</v>
      </c>
      <c r="Q222" s="53" t="b">
        <f ca="1">IFERROR(__xludf.DUMMYFUNCTION("if($G222="""",false, if(isna(match(Q$2, split($G222:$G383,"", "",False),0)),false,true))"),FALSE)</f>
        <v>0</v>
      </c>
      <c r="R222" s="53" t="b">
        <f ca="1">IFERROR(__xludf.DUMMYFUNCTION("if($G222="""",false, if(isna(match(R$2, split($G222:$G383,"", "",False),0)),false,true))"),FALSE)</f>
        <v>0</v>
      </c>
      <c r="S222" s="53" t="b">
        <f ca="1">IFERROR(__xludf.DUMMYFUNCTION("if($G222="""",false, if(isna(match(S$2, split($G222:$G383,"", "",False),0)),false,true))"),FALSE)</f>
        <v>0</v>
      </c>
      <c r="T222" s="53" t="b">
        <f ca="1">IFERROR(__xludf.DUMMYFUNCTION("if($G222="""",false, if(isna(match(T$2, split($G222:$G383,"", "",False),0)),false,true))"),FALSE)</f>
        <v>0</v>
      </c>
      <c r="U222" s="53" t="b">
        <f ca="1">IFERROR(__xludf.DUMMYFUNCTION("if($G222="""",false, if(isna(match(U$2, split($G222:$G383,"", "",False),0)),false,true))"),FALSE)</f>
        <v>0</v>
      </c>
      <c r="V222" s="53" t="b">
        <f ca="1">IFERROR(__xludf.DUMMYFUNCTION("if($G222="""",false, if(isna(match(V$2, split($G222:$G383,"", "",False),0)),false,true))"),FALSE)</f>
        <v>0</v>
      </c>
      <c r="W222" s="57" t="b">
        <f ca="1">IFERROR(__xludf.DUMMYFUNCTION("if($G222="""",false, if(isna(match(W$2, split($G222:$G383,"", "",False),0)),false,true))"),FALSE)</f>
        <v>0</v>
      </c>
    </row>
    <row r="223" spans="1:23" ht="56">
      <c r="A223" s="47" t="s">
        <v>674</v>
      </c>
      <c r="B223" s="47" t="s">
        <v>65</v>
      </c>
      <c r="C223" s="49" t="s">
        <v>587</v>
      </c>
      <c r="D223" s="52" t="s">
        <v>669</v>
      </c>
      <c r="E223" s="49" t="s">
        <v>672</v>
      </c>
      <c r="F223" s="52" t="s">
        <v>675</v>
      </c>
      <c r="G223" s="59" t="s">
        <v>110</v>
      </c>
      <c r="H223" s="53" t="b">
        <f ca="1">IFERROR(__xludf.DUMMYFUNCTION("if($G223="""",false, if(isna(match(H$2, split($G223:$G383,"", "",False),0)),false,true))"),FALSE)</f>
        <v>0</v>
      </c>
      <c r="I223" s="53" t="b">
        <f ca="1">IFERROR(__xludf.DUMMYFUNCTION("if($G223="""",false, if(isna(match(I$2, split($G223:$G383,"", "",False),0)),false,true))"),FALSE)</f>
        <v>0</v>
      </c>
      <c r="J223" s="53" t="b">
        <f ca="1">IFERROR(__xludf.DUMMYFUNCTION("if($G223="""",false, if(isna(match(J$2, split($G223:$G383,"", "",False),0)),false,true))"),TRUE)</f>
        <v>1</v>
      </c>
      <c r="K223" s="53" t="b">
        <f ca="1">IFERROR(__xludf.DUMMYFUNCTION("if($G223="""",false, if(isna(match(K$2, split($G223:$G383,"", "",False),0)),false,true))"),FALSE)</f>
        <v>0</v>
      </c>
      <c r="L223" s="53" t="b">
        <f ca="1">IFERROR(__xludf.DUMMYFUNCTION("if($G223="""",false, if(isna(match(L$2, split($G223:$G383,"", "",False),0)),false,true))"),FALSE)</f>
        <v>0</v>
      </c>
      <c r="M223" s="53" t="b">
        <f ca="1">IFERROR(__xludf.DUMMYFUNCTION("if($G223="""",false, if(isna(match(M$2, split($G223:$G383,"", "",False),0)),false,true))"),FALSE)</f>
        <v>0</v>
      </c>
      <c r="N223" s="53" t="b">
        <f ca="1">IFERROR(__xludf.DUMMYFUNCTION("if($G223="""",false, if(isna(match(N$2, split($G223:$G383,"", "",False),0)),false,true))"),FALSE)</f>
        <v>0</v>
      </c>
      <c r="O223" s="53" t="b">
        <f ca="1">IFERROR(__xludf.DUMMYFUNCTION("if($G223="""",false, if(isna(match(O$2, split($G223:$G383,"", "",False),0)),false,true))"),FALSE)</f>
        <v>0</v>
      </c>
      <c r="P223" s="53" t="b">
        <f ca="1">IFERROR(__xludf.DUMMYFUNCTION("if($G223="""",false, if(isna(match(P$2, split($G223:$G383,"", "",False),0)),false,true))"),FALSE)</f>
        <v>0</v>
      </c>
      <c r="Q223" s="53" t="b">
        <f ca="1">IFERROR(__xludf.DUMMYFUNCTION("if($G223="""",false, if(isna(match(Q$2, split($G223:$G383,"", "",False),0)),false,true))"),FALSE)</f>
        <v>0</v>
      </c>
      <c r="R223" s="53" t="b">
        <f ca="1">IFERROR(__xludf.DUMMYFUNCTION("if($G223="""",false, if(isna(match(R$2, split($G223:$G383,"", "",False),0)),false,true))"),FALSE)</f>
        <v>0</v>
      </c>
      <c r="S223" s="53" t="b">
        <f ca="1">IFERROR(__xludf.DUMMYFUNCTION("if($G223="""",false, if(isna(match(S$2, split($G223:$G383,"", "",False),0)),false,true))"),FALSE)</f>
        <v>0</v>
      </c>
      <c r="T223" s="53" t="b">
        <f ca="1">IFERROR(__xludf.DUMMYFUNCTION("if($G223="""",false, if(isna(match(T$2, split($G223:$G383,"", "",False),0)),false,true))"),FALSE)</f>
        <v>0</v>
      </c>
      <c r="U223" s="53" t="b">
        <f ca="1">IFERROR(__xludf.DUMMYFUNCTION("if($G223="""",false, if(isna(match(U$2, split($G223:$G383,"", "",False),0)),false,true))"),FALSE)</f>
        <v>0</v>
      </c>
      <c r="V223" s="53" t="b">
        <f ca="1">IFERROR(__xludf.DUMMYFUNCTION("if($G223="""",false, if(isna(match(V$2, split($G223:$G383,"", "",False),0)),false,true))"),FALSE)</f>
        <v>0</v>
      </c>
      <c r="W223" s="57" t="b">
        <f ca="1">IFERROR(__xludf.DUMMYFUNCTION("if($G223="""",false, if(isna(match(W$2, split($G223:$G383,"", "",False),0)),false,true))"),FALSE)</f>
        <v>0</v>
      </c>
    </row>
    <row r="224" spans="1:23" ht="28">
      <c r="A224" s="47" t="s">
        <v>676</v>
      </c>
      <c r="B224" s="47" t="s">
        <v>65</v>
      </c>
      <c r="C224" s="49" t="s">
        <v>587</v>
      </c>
      <c r="D224" s="52" t="s">
        <v>669</v>
      </c>
      <c r="E224" s="49" t="s">
        <v>672</v>
      </c>
      <c r="F224" s="52" t="s">
        <v>677</v>
      </c>
      <c r="G224" s="59" t="s">
        <v>110</v>
      </c>
      <c r="H224" s="53" t="b">
        <f ca="1">IFERROR(__xludf.DUMMYFUNCTION("if($G224="""",false, if(isna(match(H$2, split($G224:$G383,"", "",False),0)),false,true))"),FALSE)</f>
        <v>0</v>
      </c>
      <c r="I224" s="53" t="b">
        <f ca="1">IFERROR(__xludf.DUMMYFUNCTION("if($G224="""",false, if(isna(match(I$2, split($G224:$G383,"", "",False),0)),false,true))"),FALSE)</f>
        <v>0</v>
      </c>
      <c r="J224" s="53" t="b">
        <f ca="1">IFERROR(__xludf.DUMMYFUNCTION("if($G224="""",false, if(isna(match(J$2, split($G224:$G383,"", "",False),0)),false,true))"),TRUE)</f>
        <v>1</v>
      </c>
      <c r="K224" s="53" t="b">
        <f ca="1">IFERROR(__xludf.DUMMYFUNCTION("if($G224="""",false, if(isna(match(K$2, split($G224:$G383,"", "",False),0)),false,true))"),FALSE)</f>
        <v>0</v>
      </c>
      <c r="L224" s="53" t="b">
        <f ca="1">IFERROR(__xludf.DUMMYFUNCTION("if($G224="""",false, if(isna(match(L$2, split($G224:$G383,"", "",False),0)),false,true))"),FALSE)</f>
        <v>0</v>
      </c>
      <c r="M224" s="53" t="b">
        <f ca="1">IFERROR(__xludf.DUMMYFUNCTION("if($G224="""",false, if(isna(match(M$2, split($G224:$G383,"", "",False),0)),false,true))"),FALSE)</f>
        <v>0</v>
      </c>
      <c r="N224" s="53" t="b">
        <f ca="1">IFERROR(__xludf.DUMMYFUNCTION("if($G224="""",false, if(isna(match(N$2, split($G224:$G383,"", "",False),0)),false,true))"),FALSE)</f>
        <v>0</v>
      </c>
      <c r="O224" s="53" t="b">
        <f ca="1">IFERROR(__xludf.DUMMYFUNCTION("if($G224="""",false, if(isna(match(O$2, split($G224:$G383,"", "",False),0)),false,true))"),FALSE)</f>
        <v>0</v>
      </c>
      <c r="P224" s="53" t="b">
        <f ca="1">IFERROR(__xludf.DUMMYFUNCTION("if($G224="""",false, if(isna(match(P$2, split($G224:$G383,"", "",False),0)),false,true))"),FALSE)</f>
        <v>0</v>
      </c>
      <c r="Q224" s="53" t="b">
        <f ca="1">IFERROR(__xludf.DUMMYFUNCTION("if($G224="""",false, if(isna(match(Q$2, split($G224:$G383,"", "",False),0)),false,true))"),FALSE)</f>
        <v>0</v>
      </c>
      <c r="R224" s="53" t="b">
        <f ca="1">IFERROR(__xludf.DUMMYFUNCTION("if($G224="""",false, if(isna(match(R$2, split($G224:$G383,"", "",False),0)),false,true))"),FALSE)</f>
        <v>0</v>
      </c>
      <c r="S224" s="53" t="b">
        <f ca="1">IFERROR(__xludf.DUMMYFUNCTION("if($G224="""",false, if(isna(match(S$2, split($G224:$G383,"", "",False),0)),false,true))"),FALSE)</f>
        <v>0</v>
      </c>
      <c r="T224" s="53" t="b">
        <f ca="1">IFERROR(__xludf.DUMMYFUNCTION("if($G224="""",false, if(isna(match(T$2, split($G224:$G383,"", "",False),0)),false,true))"),FALSE)</f>
        <v>0</v>
      </c>
      <c r="U224" s="53" t="b">
        <f ca="1">IFERROR(__xludf.DUMMYFUNCTION("if($G224="""",false, if(isna(match(U$2, split($G224:$G383,"", "",False),0)),false,true))"),FALSE)</f>
        <v>0</v>
      </c>
      <c r="V224" s="53" t="b">
        <f ca="1">IFERROR(__xludf.DUMMYFUNCTION("if($G224="""",false, if(isna(match(V$2, split($G224:$G383,"", "",False),0)),false,true))"),FALSE)</f>
        <v>0</v>
      </c>
      <c r="W224" s="57" t="b">
        <f ca="1">IFERROR(__xludf.DUMMYFUNCTION("if($G224="""",false, if(isna(match(W$2, split($G224:$G383,"", "",False),0)),false,true))"),FALSE)</f>
        <v>0</v>
      </c>
    </row>
    <row r="225" spans="1:23" ht="28">
      <c r="A225" s="47" t="s">
        <v>678</v>
      </c>
      <c r="B225" s="47" t="s">
        <v>65</v>
      </c>
      <c r="C225" s="49" t="s">
        <v>587</v>
      </c>
      <c r="D225" s="52" t="s">
        <v>669</v>
      </c>
      <c r="E225" s="49" t="s">
        <v>672</v>
      </c>
      <c r="F225" s="52" t="s">
        <v>679</v>
      </c>
      <c r="G225" s="59" t="s">
        <v>110</v>
      </c>
      <c r="H225" s="53" t="b">
        <f ca="1">IFERROR(__xludf.DUMMYFUNCTION("if($G225="""",false, if(isna(match(H$2, split($G225:$G383,"", "",False),0)),false,true))"),FALSE)</f>
        <v>0</v>
      </c>
      <c r="I225" s="53" t="b">
        <f ca="1">IFERROR(__xludf.DUMMYFUNCTION("if($G225="""",false, if(isna(match(I$2, split($G225:$G383,"", "",False),0)),false,true))"),FALSE)</f>
        <v>0</v>
      </c>
      <c r="J225" s="53" t="b">
        <f ca="1">IFERROR(__xludf.DUMMYFUNCTION("if($G225="""",false, if(isna(match(J$2, split($G225:$G383,"", "",False),0)),false,true))"),TRUE)</f>
        <v>1</v>
      </c>
      <c r="K225" s="53" t="b">
        <f ca="1">IFERROR(__xludf.DUMMYFUNCTION("if($G225="""",false, if(isna(match(K$2, split($G225:$G383,"", "",False),0)),false,true))"),FALSE)</f>
        <v>0</v>
      </c>
      <c r="L225" s="53" t="b">
        <f ca="1">IFERROR(__xludf.DUMMYFUNCTION("if($G225="""",false, if(isna(match(L$2, split($G225:$G383,"", "",False),0)),false,true))"),FALSE)</f>
        <v>0</v>
      </c>
      <c r="M225" s="53" t="b">
        <f ca="1">IFERROR(__xludf.DUMMYFUNCTION("if($G225="""",false, if(isna(match(M$2, split($G225:$G383,"", "",False),0)),false,true))"),FALSE)</f>
        <v>0</v>
      </c>
      <c r="N225" s="53" t="b">
        <f ca="1">IFERROR(__xludf.DUMMYFUNCTION("if($G225="""",false, if(isna(match(N$2, split($G225:$G383,"", "",False),0)),false,true))"),FALSE)</f>
        <v>0</v>
      </c>
      <c r="O225" s="53" t="b">
        <f ca="1">IFERROR(__xludf.DUMMYFUNCTION("if($G225="""",false, if(isna(match(O$2, split($G225:$G383,"", "",False),0)),false,true))"),FALSE)</f>
        <v>0</v>
      </c>
      <c r="P225" s="53" t="b">
        <f ca="1">IFERROR(__xludf.DUMMYFUNCTION("if($G225="""",false, if(isna(match(P$2, split($G225:$G383,"", "",False),0)),false,true))"),FALSE)</f>
        <v>0</v>
      </c>
      <c r="Q225" s="53" t="b">
        <f ca="1">IFERROR(__xludf.DUMMYFUNCTION("if($G225="""",false, if(isna(match(Q$2, split($G225:$G383,"", "",False),0)),false,true))"),FALSE)</f>
        <v>0</v>
      </c>
      <c r="R225" s="53" t="b">
        <f ca="1">IFERROR(__xludf.DUMMYFUNCTION("if($G225="""",false, if(isna(match(R$2, split($G225:$G383,"", "",False),0)),false,true))"),FALSE)</f>
        <v>0</v>
      </c>
      <c r="S225" s="53" t="b">
        <f ca="1">IFERROR(__xludf.DUMMYFUNCTION("if($G225="""",false, if(isna(match(S$2, split($G225:$G383,"", "",False),0)),false,true))"),FALSE)</f>
        <v>0</v>
      </c>
      <c r="T225" s="53" t="b">
        <f ca="1">IFERROR(__xludf.DUMMYFUNCTION("if($G225="""",false, if(isna(match(T$2, split($G225:$G383,"", "",False),0)),false,true))"),FALSE)</f>
        <v>0</v>
      </c>
      <c r="U225" s="53" t="b">
        <f ca="1">IFERROR(__xludf.DUMMYFUNCTION("if($G225="""",false, if(isna(match(U$2, split($G225:$G383,"", "",False),0)),false,true))"),FALSE)</f>
        <v>0</v>
      </c>
      <c r="V225" s="53" t="b">
        <f ca="1">IFERROR(__xludf.DUMMYFUNCTION("if($G225="""",false, if(isna(match(V$2, split($G225:$G383,"", "",False),0)),false,true))"),FALSE)</f>
        <v>0</v>
      </c>
      <c r="W225" s="57" t="b">
        <f ca="1">IFERROR(__xludf.DUMMYFUNCTION("if($G225="""",false, if(isna(match(W$2, split($G225:$G383,"", "",False),0)),false,true))"),FALSE)</f>
        <v>0</v>
      </c>
    </row>
    <row r="226" spans="1:23" ht="28">
      <c r="A226" s="47" t="s">
        <v>680</v>
      </c>
      <c r="B226" s="47" t="s">
        <v>65</v>
      </c>
      <c r="C226" s="49" t="s">
        <v>587</v>
      </c>
      <c r="D226" s="52" t="s">
        <v>669</v>
      </c>
      <c r="E226" s="49" t="s">
        <v>672</v>
      </c>
      <c r="F226" s="52" t="s">
        <v>681</v>
      </c>
      <c r="G226" s="59" t="s">
        <v>110</v>
      </c>
      <c r="H226" s="53" t="b">
        <f ca="1">IFERROR(__xludf.DUMMYFUNCTION("if($G226="""",false, if(isna(match(H$2, split($G226:$G383,"", "",False),0)),false,true))"),FALSE)</f>
        <v>0</v>
      </c>
      <c r="I226" s="53" t="b">
        <f ca="1">IFERROR(__xludf.DUMMYFUNCTION("if($G226="""",false, if(isna(match(I$2, split($G226:$G383,"", "",False),0)),false,true))"),FALSE)</f>
        <v>0</v>
      </c>
      <c r="J226" s="53" t="b">
        <f ca="1">IFERROR(__xludf.DUMMYFUNCTION("if($G226="""",false, if(isna(match(J$2, split($G226:$G383,"", "",False),0)),false,true))"),TRUE)</f>
        <v>1</v>
      </c>
      <c r="K226" s="53" t="b">
        <f ca="1">IFERROR(__xludf.DUMMYFUNCTION("if($G226="""",false, if(isna(match(K$2, split($G226:$G383,"", "",False),0)),false,true))"),FALSE)</f>
        <v>0</v>
      </c>
      <c r="L226" s="53" t="b">
        <f ca="1">IFERROR(__xludf.DUMMYFUNCTION("if($G226="""",false, if(isna(match(L$2, split($G226:$G383,"", "",False),0)),false,true))"),FALSE)</f>
        <v>0</v>
      </c>
      <c r="M226" s="53" t="b">
        <f ca="1">IFERROR(__xludf.DUMMYFUNCTION("if($G226="""",false, if(isna(match(M$2, split($G226:$G383,"", "",False),0)),false,true))"),FALSE)</f>
        <v>0</v>
      </c>
      <c r="N226" s="53" t="b">
        <f ca="1">IFERROR(__xludf.DUMMYFUNCTION("if($G226="""",false, if(isna(match(N$2, split($G226:$G383,"", "",False),0)),false,true))"),FALSE)</f>
        <v>0</v>
      </c>
      <c r="O226" s="53" t="b">
        <f ca="1">IFERROR(__xludf.DUMMYFUNCTION("if($G226="""",false, if(isna(match(O$2, split($G226:$G383,"", "",False),0)),false,true))"),FALSE)</f>
        <v>0</v>
      </c>
      <c r="P226" s="53" t="b">
        <f ca="1">IFERROR(__xludf.DUMMYFUNCTION("if($G226="""",false, if(isna(match(P$2, split($G226:$G383,"", "",False),0)),false,true))"),FALSE)</f>
        <v>0</v>
      </c>
      <c r="Q226" s="53" t="b">
        <f ca="1">IFERROR(__xludf.DUMMYFUNCTION("if($G226="""",false, if(isna(match(Q$2, split($G226:$G383,"", "",False),0)),false,true))"),FALSE)</f>
        <v>0</v>
      </c>
      <c r="R226" s="53" t="b">
        <f ca="1">IFERROR(__xludf.DUMMYFUNCTION("if($G226="""",false, if(isna(match(R$2, split($G226:$G383,"", "",False),0)),false,true))"),FALSE)</f>
        <v>0</v>
      </c>
      <c r="S226" s="53" t="b">
        <f ca="1">IFERROR(__xludf.DUMMYFUNCTION("if($G226="""",false, if(isna(match(S$2, split($G226:$G383,"", "",False),0)),false,true))"),FALSE)</f>
        <v>0</v>
      </c>
      <c r="T226" s="53" t="b">
        <f ca="1">IFERROR(__xludf.DUMMYFUNCTION("if($G226="""",false, if(isna(match(T$2, split($G226:$G383,"", "",False),0)),false,true))"),FALSE)</f>
        <v>0</v>
      </c>
      <c r="U226" s="53" t="b">
        <f ca="1">IFERROR(__xludf.DUMMYFUNCTION("if($G226="""",false, if(isna(match(U$2, split($G226:$G383,"", "",False),0)),false,true))"),FALSE)</f>
        <v>0</v>
      </c>
      <c r="V226" s="53" t="b">
        <f ca="1">IFERROR(__xludf.DUMMYFUNCTION("if($G226="""",false, if(isna(match(V$2, split($G226:$G383,"", "",False),0)),false,true))"),FALSE)</f>
        <v>0</v>
      </c>
      <c r="W226" s="57" t="b">
        <f ca="1">IFERROR(__xludf.DUMMYFUNCTION("if($G226="""",false, if(isna(match(W$2, split($G226:$G383,"", "",False),0)),false,true))"),FALSE)</f>
        <v>0</v>
      </c>
    </row>
    <row r="227" spans="1:23" ht="28">
      <c r="A227" s="47" t="s">
        <v>682</v>
      </c>
      <c r="B227" s="47" t="s">
        <v>65</v>
      </c>
      <c r="C227" s="49" t="s">
        <v>587</v>
      </c>
      <c r="D227" s="52" t="s">
        <v>669</v>
      </c>
      <c r="E227" s="49" t="s">
        <v>683</v>
      </c>
      <c r="F227" s="52" t="s">
        <v>684</v>
      </c>
      <c r="G227" s="59" t="s">
        <v>110</v>
      </c>
      <c r="H227" s="53" t="b">
        <f ca="1">IFERROR(__xludf.DUMMYFUNCTION("if($G227="""",false, if(isna(match(H$2, split($G227:$G383,"", "",False),0)),false,true))"),FALSE)</f>
        <v>0</v>
      </c>
      <c r="I227" s="53" t="b">
        <f ca="1">IFERROR(__xludf.DUMMYFUNCTION("if($G227="""",false, if(isna(match(I$2, split($G227:$G383,"", "",False),0)),false,true))"),FALSE)</f>
        <v>0</v>
      </c>
      <c r="J227" s="53" t="b">
        <f ca="1">IFERROR(__xludf.DUMMYFUNCTION("if($G227="""",false, if(isna(match(J$2, split($G227:$G383,"", "",False),0)),false,true))"),TRUE)</f>
        <v>1</v>
      </c>
      <c r="K227" s="53" t="b">
        <f ca="1">IFERROR(__xludf.DUMMYFUNCTION("if($G227="""",false, if(isna(match(K$2, split($G227:$G383,"", "",False),0)),false,true))"),FALSE)</f>
        <v>0</v>
      </c>
      <c r="L227" s="53" t="b">
        <f ca="1">IFERROR(__xludf.DUMMYFUNCTION("if($G227="""",false, if(isna(match(L$2, split($G227:$G383,"", "",False),0)),false,true))"),FALSE)</f>
        <v>0</v>
      </c>
      <c r="M227" s="53" t="b">
        <f ca="1">IFERROR(__xludf.DUMMYFUNCTION("if($G227="""",false, if(isna(match(M$2, split($G227:$G383,"", "",False),0)),false,true))"),FALSE)</f>
        <v>0</v>
      </c>
      <c r="N227" s="53" t="b">
        <f ca="1">IFERROR(__xludf.DUMMYFUNCTION("if($G227="""",false, if(isna(match(N$2, split($G227:$G383,"", "",False),0)),false,true))"),FALSE)</f>
        <v>0</v>
      </c>
      <c r="O227" s="53" t="b">
        <f ca="1">IFERROR(__xludf.DUMMYFUNCTION("if($G227="""",false, if(isna(match(O$2, split($G227:$G383,"", "",False),0)),false,true))"),FALSE)</f>
        <v>0</v>
      </c>
      <c r="P227" s="53" t="b">
        <f ca="1">IFERROR(__xludf.DUMMYFUNCTION("if($G227="""",false, if(isna(match(P$2, split($G227:$G383,"", "",False),0)),false,true))"),FALSE)</f>
        <v>0</v>
      </c>
      <c r="Q227" s="53" t="b">
        <f ca="1">IFERROR(__xludf.DUMMYFUNCTION("if($G227="""",false, if(isna(match(Q$2, split($G227:$G383,"", "",False),0)),false,true))"),FALSE)</f>
        <v>0</v>
      </c>
      <c r="R227" s="53" t="b">
        <f ca="1">IFERROR(__xludf.DUMMYFUNCTION("if($G227="""",false, if(isna(match(R$2, split($G227:$G383,"", "",False),0)),false,true))"),FALSE)</f>
        <v>0</v>
      </c>
      <c r="S227" s="53" t="b">
        <f ca="1">IFERROR(__xludf.DUMMYFUNCTION("if($G227="""",false, if(isna(match(S$2, split($G227:$G383,"", "",False),0)),false,true))"),FALSE)</f>
        <v>0</v>
      </c>
      <c r="T227" s="53" t="b">
        <f ca="1">IFERROR(__xludf.DUMMYFUNCTION("if($G227="""",false, if(isna(match(T$2, split($G227:$G383,"", "",False),0)),false,true))"),FALSE)</f>
        <v>0</v>
      </c>
      <c r="U227" s="53" t="b">
        <f ca="1">IFERROR(__xludf.DUMMYFUNCTION("if($G227="""",false, if(isna(match(U$2, split($G227:$G383,"", "",False),0)),false,true))"),FALSE)</f>
        <v>0</v>
      </c>
      <c r="V227" s="53" t="b">
        <f ca="1">IFERROR(__xludf.DUMMYFUNCTION("if($G227="""",false, if(isna(match(V$2, split($G227:$G383,"", "",False),0)),false,true))"),FALSE)</f>
        <v>0</v>
      </c>
      <c r="W227" s="57" t="b">
        <f ca="1">IFERROR(__xludf.DUMMYFUNCTION("if($G227="""",false, if(isna(match(W$2, split($G227:$G383,"", "",False),0)),false,true))"),FALSE)</f>
        <v>0</v>
      </c>
    </row>
    <row r="228" spans="1:23" ht="56">
      <c r="A228" s="47" t="s">
        <v>685</v>
      </c>
      <c r="B228" s="47" t="s">
        <v>65</v>
      </c>
      <c r="C228" s="49" t="s">
        <v>587</v>
      </c>
      <c r="D228" s="52" t="s">
        <v>669</v>
      </c>
      <c r="E228" s="49" t="s">
        <v>683</v>
      </c>
      <c r="F228" s="52" t="s">
        <v>686</v>
      </c>
      <c r="G228" s="59" t="s">
        <v>110</v>
      </c>
      <c r="H228" s="53" t="b">
        <f ca="1">IFERROR(__xludf.DUMMYFUNCTION("if($G228="""",false, if(isna(match(H$2, split($G228:$G383,"", "",False),0)),false,true))"),FALSE)</f>
        <v>0</v>
      </c>
      <c r="I228" s="53" t="b">
        <f ca="1">IFERROR(__xludf.DUMMYFUNCTION("if($G228="""",false, if(isna(match(I$2, split($G228:$G383,"", "",False),0)),false,true))"),FALSE)</f>
        <v>0</v>
      </c>
      <c r="J228" s="53" t="b">
        <f ca="1">IFERROR(__xludf.DUMMYFUNCTION("if($G228="""",false, if(isna(match(J$2, split($G228:$G383,"", "",False),0)),false,true))"),TRUE)</f>
        <v>1</v>
      </c>
      <c r="K228" s="53" t="b">
        <f ca="1">IFERROR(__xludf.DUMMYFUNCTION("if($G228="""",false, if(isna(match(K$2, split($G228:$G383,"", "",False),0)),false,true))"),FALSE)</f>
        <v>0</v>
      </c>
      <c r="L228" s="53" t="b">
        <f ca="1">IFERROR(__xludf.DUMMYFUNCTION("if($G228="""",false, if(isna(match(L$2, split($G228:$G383,"", "",False),0)),false,true))"),FALSE)</f>
        <v>0</v>
      </c>
      <c r="M228" s="53" t="b">
        <f ca="1">IFERROR(__xludf.DUMMYFUNCTION("if($G228="""",false, if(isna(match(M$2, split($G228:$G383,"", "",False),0)),false,true))"),FALSE)</f>
        <v>0</v>
      </c>
      <c r="N228" s="53" t="b">
        <f ca="1">IFERROR(__xludf.DUMMYFUNCTION("if($G228="""",false, if(isna(match(N$2, split($G228:$G383,"", "",False),0)),false,true))"),FALSE)</f>
        <v>0</v>
      </c>
      <c r="O228" s="53" t="b">
        <f ca="1">IFERROR(__xludf.DUMMYFUNCTION("if($G228="""",false, if(isna(match(O$2, split($G228:$G383,"", "",False),0)),false,true))"),FALSE)</f>
        <v>0</v>
      </c>
      <c r="P228" s="53" t="b">
        <f ca="1">IFERROR(__xludf.DUMMYFUNCTION("if($G228="""",false, if(isna(match(P$2, split($G228:$G383,"", "",False),0)),false,true))"),FALSE)</f>
        <v>0</v>
      </c>
      <c r="Q228" s="53" t="b">
        <f ca="1">IFERROR(__xludf.DUMMYFUNCTION("if($G228="""",false, if(isna(match(Q$2, split($G228:$G383,"", "",False),0)),false,true))"),FALSE)</f>
        <v>0</v>
      </c>
      <c r="R228" s="53" t="b">
        <f ca="1">IFERROR(__xludf.DUMMYFUNCTION("if($G228="""",false, if(isna(match(R$2, split($G228:$G383,"", "",False),0)),false,true))"),FALSE)</f>
        <v>0</v>
      </c>
      <c r="S228" s="53" t="b">
        <f ca="1">IFERROR(__xludf.DUMMYFUNCTION("if($G228="""",false, if(isna(match(S$2, split($G228:$G383,"", "",False),0)),false,true))"),FALSE)</f>
        <v>0</v>
      </c>
      <c r="T228" s="53" t="b">
        <f ca="1">IFERROR(__xludf.DUMMYFUNCTION("if($G228="""",false, if(isna(match(T$2, split($G228:$G383,"", "",False),0)),false,true))"),FALSE)</f>
        <v>0</v>
      </c>
      <c r="U228" s="53" t="b">
        <f ca="1">IFERROR(__xludf.DUMMYFUNCTION("if($G228="""",false, if(isna(match(U$2, split($G228:$G383,"", "",False),0)),false,true))"),FALSE)</f>
        <v>0</v>
      </c>
      <c r="V228" s="53" t="b">
        <f ca="1">IFERROR(__xludf.DUMMYFUNCTION("if($G228="""",false, if(isna(match(V$2, split($G228:$G383,"", "",False),0)),false,true))"),FALSE)</f>
        <v>0</v>
      </c>
      <c r="W228" s="57" t="b">
        <f ca="1">IFERROR(__xludf.DUMMYFUNCTION("if($G228="""",false, if(isna(match(W$2, split($G228:$G383,"", "",False),0)),false,true))"),FALSE)</f>
        <v>0</v>
      </c>
    </row>
    <row r="229" spans="1:23" ht="28">
      <c r="A229" s="47" t="s">
        <v>687</v>
      </c>
      <c r="B229" s="47" t="s">
        <v>65</v>
      </c>
      <c r="C229" s="49" t="s">
        <v>587</v>
      </c>
      <c r="D229" s="52" t="s">
        <v>669</v>
      </c>
      <c r="E229" s="49" t="s">
        <v>688</v>
      </c>
      <c r="F229" s="52" t="s">
        <v>689</v>
      </c>
      <c r="G229" s="59" t="s">
        <v>110</v>
      </c>
      <c r="H229" s="53" t="b">
        <f ca="1">IFERROR(__xludf.DUMMYFUNCTION("if($G229="""",false, if(isna(match(H$2, split($G229:$G383,"", "",False),0)),false,true))"),FALSE)</f>
        <v>0</v>
      </c>
      <c r="I229" s="53" t="b">
        <f ca="1">IFERROR(__xludf.DUMMYFUNCTION("if($G229="""",false, if(isna(match(I$2, split($G229:$G383,"", "",False),0)),false,true))"),FALSE)</f>
        <v>0</v>
      </c>
      <c r="J229" s="53" t="b">
        <f ca="1">IFERROR(__xludf.DUMMYFUNCTION("if($G229="""",false, if(isna(match(J$2, split($G229:$G383,"", "",False),0)),false,true))"),TRUE)</f>
        <v>1</v>
      </c>
      <c r="K229" s="53" t="b">
        <f ca="1">IFERROR(__xludf.DUMMYFUNCTION("if($G229="""",false, if(isna(match(K$2, split($G229:$G383,"", "",False),0)),false,true))"),FALSE)</f>
        <v>0</v>
      </c>
      <c r="L229" s="53" t="b">
        <f ca="1">IFERROR(__xludf.DUMMYFUNCTION("if($G229="""",false, if(isna(match(L$2, split($G229:$G383,"", "",False),0)),false,true))"),FALSE)</f>
        <v>0</v>
      </c>
      <c r="M229" s="53" t="b">
        <f ca="1">IFERROR(__xludf.DUMMYFUNCTION("if($G229="""",false, if(isna(match(M$2, split($G229:$G383,"", "",False),0)),false,true))"),FALSE)</f>
        <v>0</v>
      </c>
      <c r="N229" s="53" t="b">
        <f ca="1">IFERROR(__xludf.DUMMYFUNCTION("if($G229="""",false, if(isna(match(N$2, split($G229:$G383,"", "",False),0)),false,true))"),FALSE)</f>
        <v>0</v>
      </c>
      <c r="O229" s="53" t="b">
        <f ca="1">IFERROR(__xludf.DUMMYFUNCTION("if($G229="""",false, if(isna(match(O$2, split($G229:$G383,"", "",False),0)),false,true))"),FALSE)</f>
        <v>0</v>
      </c>
      <c r="P229" s="53" t="b">
        <f ca="1">IFERROR(__xludf.DUMMYFUNCTION("if($G229="""",false, if(isna(match(P$2, split($G229:$G383,"", "",False),0)),false,true))"),FALSE)</f>
        <v>0</v>
      </c>
      <c r="Q229" s="53" t="b">
        <f ca="1">IFERROR(__xludf.DUMMYFUNCTION("if($G229="""",false, if(isna(match(Q$2, split($G229:$G383,"", "",False),0)),false,true))"),FALSE)</f>
        <v>0</v>
      </c>
      <c r="R229" s="53" t="b">
        <f ca="1">IFERROR(__xludf.DUMMYFUNCTION("if($G229="""",false, if(isna(match(R$2, split($G229:$G383,"", "",False),0)),false,true))"),FALSE)</f>
        <v>0</v>
      </c>
      <c r="S229" s="53" t="b">
        <f ca="1">IFERROR(__xludf.DUMMYFUNCTION("if($G229="""",false, if(isna(match(S$2, split($G229:$G383,"", "",False),0)),false,true))"),FALSE)</f>
        <v>0</v>
      </c>
      <c r="T229" s="53" t="b">
        <f ca="1">IFERROR(__xludf.DUMMYFUNCTION("if($G229="""",false, if(isna(match(T$2, split($G229:$G383,"", "",False),0)),false,true))"),FALSE)</f>
        <v>0</v>
      </c>
      <c r="U229" s="53" t="b">
        <f ca="1">IFERROR(__xludf.DUMMYFUNCTION("if($G229="""",false, if(isna(match(U$2, split($G229:$G383,"", "",False),0)),false,true))"),FALSE)</f>
        <v>0</v>
      </c>
      <c r="V229" s="53" t="b">
        <f ca="1">IFERROR(__xludf.DUMMYFUNCTION("if($G229="""",false, if(isna(match(V$2, split($G229:$G383,"", "",False),0)),false,true))"),FALSE)</f>
        <v>0</v>
      </c>
      <c r="W229" s="57" t="b">
        <f ca="1">IFERROR(__xludf.DUMMYFUNCTION("if($G229="""",false, if(isna(match(W$2, split($G229:$G383,"", "",False),0)),false,true))"),FALSE)</f>
        <v>0</v>
      </c>
    </row>
    <row r="230" spans="1:23" ht="28">
      <c r="A230" s="47" t="s">
        <v>690</v>
      </c>
      <c r="B230" s="47" t="s">
        <v>65</v>
      </c>
      <c r="C230" s="49" t="s">
        <v>587</v>
      </c>
      <c r="D230" s="52" t="s">
        <v>669</v>
      </c>
      <c r="E230" s="49" t="s">
        <v>688</v>
      </c>
      <c r="F230" s="52" t="s">
        <v>691</v>
      </c>
      <c r="G230" s="59" t="s">
        <v>110</v>
      </c>
      <c r="H230" s="53" t="b">
        <f ca="1">IFERROR(__xludf.DUMMYFUNCTION("if($G230="""",false, if(isna(match(H$2, split($G230:$G383,"", "",False),0)),false,true))"),FALSE)</f>
        <v>0</v>
      </c>
      <c r="I230" s="53" t="b">
        <f ca="1">IFERROR(__xludf.DUMMYFUNCTION("if($G230="""",false, if(isna(match(I$2, split($G230:$G383,"", "",False),0)),false,true))"),FALSE)</f>
        <v>0</v>
      </c>
      <c r="J230" s="53" t="b">
        <f ca="1">IFERROR(__xludf.DUMMYFUNCTION("if($G230="""",false, if(isna(match(J$2, split($G230:$G383,"", "",False),0)),false,true))"),TRUE)</f>
        <v>1</v>
      </c>
      <c r="K230" s="53" t="b">
        <f ca="1">IFERROR(__xludf.DUMMYFUNCTION("if($G230="""",false, if(isna(match(K$2, split($G230:$G383,"", "",False),0)),false,true))"),FALSE)</f>
        <v>0</v>
      </c>
      <c r="L230" s="53" t="b">
        <f ca="1">IFERROR(__xludf.DUMMYFUNCTION("if($G230="""",false, if(isna(match(L$2, split($G230:$G383,"", "",False),0)),false,true))"),FALSE)</f>
        <v>0</v>
      </c>
      <c r="M230" s="53" t="b">
        <f ca="1">IFERROR(__xludf.DUMMYFUNCTION("if($G230="""",false, if(isna(match(M$2, split($G230:$G383,"", "",False),0)),false,true))"),FALSE)</f>
        <v>0</v>
      </c>
      <c r="N230" s="53" t="b">
        <f ca="1">IFERROR(__xludf.DUMMYFUNCTION("if($G230="""",false, if(isna(match(N$2, split($G230:$G383,"", "",False),0)),false,true))"),FALSE)</f>
        <v>0</v>
      </c>
      <c r="O230" s="53" t="b">
        <f ca="1">IFERROR(__xludf.DUMMYFUNCTION("if($G230="""",false, if(isna(match(O$2, split($G230:$G383,"", "",False),0)),false,true))"),FALSE)</f>
        <v>0</v>
      </c>
      <c r="P230" s="53" t="b">
        <f ca="1">IFERROR(__xludf.DUMMYFUNCTION("if($G230="""",false, if(isna(match(P$2, split($G230:$G383,"", "",False),0)),false,true))"),FALSE)</f>
        <v>0</v>
      </c>
      <c r="Q230" s="53" t="b">
        <f ca="1">IFERROR(__xludf.DUMMYFUNCTION("if($G230="""",false, if(isna(match(Q$2, split($G230:$G383,"", "",False),0)),false,true))"),FALSE)</f>
        <v>0</v>
      </c>
      <c r="R230" s="53" t="b">
        <f ca="1">IFERROR(__xludf.DUMMYFUNCTION("if($G230="""",false, if(isna(match(R$2, split($G230:$G383,"", "",False),0)),false,true))"),FALSE)</f>
        <v>0</v>
      </c>
      <c r="S230" s="53" t="b">
        <f ca="1">IFERROR(__xludf.DUMMYFUNCTION("if($G230="""",false, if(isna(match(S$2, split($G230:$G383,"", "",False),0)),false,true))"),FALSE)</f>
        <v>0</v>
      </c>
      <c r="T230" s="53" t="b">
        <f ca="1">IFERROR(__xludf.DUMMYFUNCTION("if($G230="""",false, if(isna(match(T$2, split($G230:$G383,"", "",False),0)),false,true))"),FALSE)</f>
        <v>0</v>
      </c>
      <c r="U230" s="53" t="b">
        <f ca="1">IFERROR(__xludf.DUMMYFUNCTION("if($G230="""",false, if(isna(match(U$2, split($G230:$G383,"", "",False),0)),false,true))"),FALSE)</f>
        <v>0</v>
      </c>
      <c r="V230" s="53" t="b">
        <f ca="1">IFERROR(__xludf.DUMMYFUNCTION("if($G230="""",false, if(isna(match(V$2, split($G230:$G383,"", "",False),0)),false,true))"),FALSE)</f>
        <v>0</v>
      </c>
      <c r="W230" s="57" t="b">
        <f ca="1">IFERROR(__xludf.DUMMYFUNCTION("if($G230="""",false, if(isna(match(W$2, split($G230:$G383,"", "",False),0)),false,true))"),FALSE)</f>
        <v>0</v>
      </c>
    </row>
    <row r="231" spans="1:23" ht="42">
      <c r="A231" s="47" t="s">
        <v>692</v>
      </c>
      <c r="B231" s="47" t="s">
        <v>65</v>
      </c>
      <c r="C231" s="49" t="s">
        <v>587</v>
      </c>
      <c r="D231" s="52" t="s">
        <v>669</v>
      </c>
      <c r="E231" s="49" t="s">
        <v>688</v>
      </c>
      <c r="F231" s="52" t="s">
        <v>693</v>
      </c>
      <c r="G231" s="59" t="s">
        <v>110</v>
      </c>
      <c r="H231" s="53" t="b">
        <f ca="1">IFERROR(__xludf.DUMMYFUNCTION("if($G231="""",false, if(isna(match(H$2, split($G231:$G383,"", "",False),0)),false,true))"),FALSE)</f>
        <v>0</v>
      </c>
      <c r="I231" s="53" t="b">
        <f ca="1">IFERROR(__xludf.DUMMYFUNCTION("if($G231="""",false, if(isna(match(I$2, split($G231:$G383,"", "",False),0)),false,true))"),FALSE)</f>
        <v>0</v>
      </c>
      <c r="J231" s="53" t="b">
        <f ca="1">IFERROR(__xludf.DUMMYFUNCTION("if($G231="""",false, if(isna(match(J$2, split($G231:$G383,"", "",False),0)),false,true))"),TRUE)</f>
        <v>1</v>
      </c>
      <c r="K231" s="53" t="b">
        <f ca="1">IFERROR(__xludf.DUMMYFUNCTION("if($G231="""",false, if(isna(match(K$2, split($G231:$G383,"", "",False),0)),false,true))"),FALSE)</f>
        <v>0</v>
      </c>
      <c r="L231" s="53" t="b">
        <f ca="1">IFERROR(__xludf.DUMMYFUNCTION("if($G231="""",false, if(isna(match(L$2, split($G231:$G383,"", "",False),0)),false,true))"),FALSE)</f>
        <v>0</v>
      </c>
      <c r="M231" s="53" t="b">
        <f ca="1">IFERROR(__xludf.DUMMYFUNCTION("if($G231="""",false, if(isna(match(M$2, split($G231:$G383,"", "",False),0)),false,true))"),FALSE)</f>
        <v>0</v>
      </c>
      <c r="N231" s="53" t="b">
        <f ca="1">IFERROR(__xludf.DUMMYFUNCTION("if($G231="""",false, if(isna(match(N$2, split($G231:$G383,"", "",False),0)),false,true))"),FALSE)</f>
        <v>0</v>
      </c>
      <c r="O231" s="53" t="b">
        <f ca="1">IFERROR(__xludf.DUMMYFUNCTION("if($G231="""",false, if(isna(match(O$2, split($G231:$G383,"", "",False),0)),false,true))"),FALSE)</f>
        <v>0</v>
      </c>
      <c r="P231" s="53" t="b">
        <f ca="1">IFERROR(__xludf.DUMMYFUNCTION("if($G231="""",false, if(isna(match(P$2, split($G231:$G383,"", "",False),0)),false,true))"),FALSE)</f>
        <v>0</v>
      </c>
      <c r="Q231" s="53" t="b">
        <f ca="1">IFERROR(__xludf.DUMMYFUNCTION("if($G231="""",false, if(isna(match(Q$2, split($G231:$G383,"", "",False),0)),false,true))"),FALSE)</f>
        <v>0</v>
      </c>
      <c r="R231" s="53" t="b">
        <f ca="1">IFERROR(__xludf.DUMMYFUNCTION("if($G231="""",false, if(isna(match(R$2, split($G231:$G383,"", "",False),0)),false,true))"),FALSE)</f>
        <v>0</v>
      </c>
      <c r="S231" s="53" t="b">
        <f ca="1">IFERROR(__xludf.DUMMYFUNCTION("if($G231="""",false, if(isna(match(S$2, split($G231:$G383,"", "",False),0)),false,true))"),FALSE)</f>
        <v>0</v>
      </c>
      <c r="T231" s="53" t="b">
        <f ca="1">IFERROR(__xludf.DUMMYFUNCTION("if($G231="""",false, if(isna(match(T$2, split($G231:$G383,"", "",False),0)),false,true))"),FALSE)</f>
        <v>0</v>
      </c>
      <c r="U231" s="53" t="b">
        <f ca="1">IFERROR(__xludf.DUMMYFUNCTION("if($G231="""",false, if(isna(match(U$2, split($G231:$G383,"", "",False),0)),false,true))"),FALSE)</f>
        <v>0</v>
      </c>
      <c r="V231" s="53" t="b">
        <f ca="1">IFERROR(__xludf.DUMMYFUNCTION("if($G231="""",false, if(isna(match(V$2, split($G231:$G383,"", "",False),0)),false,true))"),FALSE)</f>
        <v>0</v>
      </c>
      <c r="W231" s="57" t="b">
        <f ca="1">IFERROR(__xludf.DUMMYFUNCTION("if($G231="""",false, if(isna(match(W$2, split($G231:$G383,"", "",False),0)),false,true))"),FALSE)</f>
        <v>0</v>
      </c>
    </row>
    <row r="232" spans="1:23" ht="28">
      <c r="A232" s="47" t="s">
        <v>694</v>
      </c>
      <c r="B232" s="47" t="s">
        <v>65</v>
      </c>
      <c r="C232" s="49" t="s">
        <v>587</v>
      </c>
      <c r="D232" s="52" t="s">
        <v>669</v>
      </c>
      <c r="E232" s="49" t="s">
        <v>695</v>
      </c>
      <c r="F232" s="52" t="s">
        <v>696</v>
      </c>
      <c r="G232" s="59" t="s">
        <v>110</v>
      </c>
      <c r="H232" s="53" t="b">
        <f ca="1">IFERROR(__xludf.DUMMYFUNCTION("if($G232="""",false, if(isna(match(H$2, split($G232:$G383,"", "",False),0)),false,true))"),FALSE)</f>
        <v>0</v>
      </c>
      <c r="I232" s="53" t="b">
        <f ca="1">IFERROR(__xludf.DUMMYFUNCTION("if($G232="""",false, if(isna(match(I$2, split($G232:$G383,"", "",False),0)),false,true))"),FALSE)</f>
        <v>0</v>
      </c>
      <c r="J232" s="53" t="b">
        <f ca="1">IFERROR(__xludf.DUMMYFUNCTION("if($G232="""",false, if(isna(match(J$2, split($G232:$G383,"", "",False),0)),false,true))"),TRUE)</f>
        <v>1</v>
      </c>
      <c r="K232" s="53" t="b">
        <f ca="1">IFERROR(__xludf.DUMMYFUNCTION("if($G232="""",false, if(isna(match(K$2, split($G232:$G383,"", "",False),0)),false,true))"),FALSE)</f>
        <v>0</v>
      </c>
      <c r="L232" s="53" t="b">
        <f ca="1">IFERROR(__xludf.DUMMYFUNCTION("if($G232="""",false, if(isna(match(L$2, split($G232:$G383,"", "",False),0)),false,true))"),FALSE)</f>
        <v>0</v>
      </c>
      <c r="M232" s="53" t="b">
        <f ca="1">IFERROR(__xludf.DUMMYFUNCTION("if($G232="""",false, if(isna(match(M$2, split($G232:$G383,"", "",False),0)),false,true))"),FALSE)</f>
        <v>0</v>
      </c>
      <c r="N232" s="53" t="b">
        <f ca="1">IFERROR(__xludf.DUMMYFUNCTION("if($G232="""",false, if(isna(match(N$2, split($G232:$G383,"", "",False),0)),false,true))"),FALSE)</f>
        <v>0</v>
      </c>
      <c r="O232" s="53" t="b">
        <f ca="1">IFERROR(__xludf.DUMMYFUNCTION("if($G232="""",false, if(isna(match(O$2, split($G232:$G383,"", "",False),0)),false,true))"),FALSE)</f>
        <v>0</v>
      </c>
      <c r="P232" s="53" t="b">
        <f ca="1">IFERROR(__xludf.DUMMYFUNCTION("if($G232="""",false, if(isna(match(P$2, split($G232:$G383,"", "",False),0)),false,true))"),FALSE)</f>
        <v>0</v>
      </c>
      <c r="Q232" s="53" t="b">
        <f ca="1">IFERROR(__xludf.DUMMYFUNCTION("if($G232="""",false, if(isna(match(Q$2, split($G232:$G383,"", "",False),0)),false,true))"),FALSE)</f>
        <v>0</v>
      </c>
      <c r="R232" s="53" t="b">
        <f ca="1">IFERROR(__xludf.DUMMYFUNCTION("if($G232="""",false, if(isna(match(R$2, split($G232:$G383,"", "",False),0)),false,true))"),FALSE)</f>
        <v>0</v>
      </c>
      <c r="S232" s="53" t="b">
        <f ca="1">IFERROR(__xludf.DUMMYFUNCTION("if($G232="""",false, if(isna(match(S$2, split($G232:$G383,"", "",False),0)),false,true))"),FALSE)</f>
        <v>0</v>
      </c>
      <c r="T232" s="53" t="b">
        <f ca="1">IFERROR(__xludf.DUMMYFUNCTION("if($G232="""",false, if(isna(match(T$2, split($G232:$G383,"", "",False),0)),false,true))"),FALSE)</f>
        <v>0</v>
      </c>
      <c r="U232" s="53" t="b">
        <f ca="1">IFERROR(__xludf.DUMMYFUNCTION("if($G232="""",false, if(isna(match(U$2, split($G232:$G383,"", "",False),0)),false,true))"),FALSE)</f>
        <v>0</v>
      </c>
      <c r="V232" s="53" t="b">
        <f ca="1">IFERROR(__xludf.DUMMYFUNCTION("if($G232="""",false, if(isna(match(V$2, split($G232:$G383,"", "",False),0)),false,true))"),FALSE)</f>
        <v>0</v>
      </c>
      <c r="W232" s="57" t="b">
        <f ca="1">IFERROR(__xludf.DUMMYFUNCTION("if($G232="""",false, if(isna(match(W$2, split($G232:$G383,"", "",False),0)),false,true))"),FALSE)</f>
        <v>0</v>
      </c>
    </row>
    <row r="233" spans="1:23" ht="28">
      <c r="A233" s="47" t="s">
        <v>697</v>
      </c>
      <c r="B233" s="47" t="s">
        <v>65</v>
      </c>
      <c r="C233" s="49" t="s">
        <v>587</v>
      </c>
      <c r="D233" s="52" t="s">
        <v>669</v>
      </c>
      <c r="E233" s="49" t="s">
        <v>695</v>
      </c>
      <c r="F233" s="52" t="s">
        <v>698</v>
      </c>
      <c r="G233" s="59" t="s">
        <v>110</v>
      </c>
      <c r="H233" s="53" t="b">
        <f ca="1">IFERROR(__xludf.DUMMYFUNCTION("if($G233="""",false, if(isna(match(H$2, split($G233:$G383,"", "",False),0)),false,true))"),FALSE)</f>
        <v>0</v>
      </c>
      <c r="I233" s="53" t="b">
        <f ca="1">IFERROR(__xludf.DUMMYFUNCTION("if($G233="""",false, if(isna(match(I$2, split($G233:$G383,"", "",False),0)),false,true))"),FALSE)</f>
        <v>0</v>
      </c>
      <c r="J233" s="53" t="b">
        <f ca="1">IFERROR(__xludf.DUMMYFUNCTION("if($G233="""",false, if(isna(match(J$2, split($G233:$G383,"", "",False),0)),false,true))"),TRUE)</f>
        <v>1</v>
      </c>
      <c r="K233" s="53" t="b">
        <f ca="1">IFERROR(__xludf.DUMMYFUNCTION("if($G233="""",false, if(isna(match(K$2, split($G233:$G383,"", "",False),0)),false,true))"),FALSE)</f>
        <v>0</v>
      </c>
      <c r="L233" s="53" t="b">
        <f ca="1">IFERROR(__xludf.DUMMYFUNCTION("if($G233="""",false, if(isna(match(L$2, split($G233:$G383,"", "",False),0)),false,true))"),FALSE)</f>
        <v>0</v>
      </c>
      <c r="M233" s="53" t="b">
        <f ca="1">IFERROR(__xludf.DUMMYFUNCTION("if($G233="""",false, if(isna(match(M$2, split($G233:$G383,"", "",False),0)),false,true))"),FALSE)</f>
        <v>0</v>
      </c>
      <c r="N233" s="53" t="b">
        <f ca="1">IFERROR(__xludf.DUMMYFUNCTION("if($G233="""",false, if(isna(match(N$2, split($G233:$G383,"", "",False),0)),false,true))"),FALSE)</f>
        <v>0</v>
      </c>
      <c r="O233" s="53" t="b">
        <f ca="1">IFERROR(__xludf.DUMMYFUNCTION("if($G233="""",false, if(isna(match(O$2, split($G233:$G383,"", "",False),0)),false,true))"),FALSE)</f>
        <v>0</v>
      </c>
      <c r="P233" s="53" t="b">
        <f ca="1">IFERROR(__xludf.DUMMYFUNCTION("if($G233="""",false, if(isna(match(P$2, split($G233:$G383,"", "",False),0)),false,true))"),FALSE)</f>
        <v>0</v>
      </c>
      <c r="Q233" s="53" t="b">
        <f ca="1">IFERROR(__xludf.DUMMYFUNCTION("if($G233="""",false, if(isna(match(Q$2, split($G233:$G383,"", "",False),0)),false,true))"),FALSE)</f>
        <v>0</v>
      </c>
      <c r="R233" s="53" t="b">
        <f ca="1">IFERROR(__xludf.DUMMYFUNCTION("if($G233="""",false, if(isna(match(R$2, split($G233:$G383,"", "",False),0)),false,true))"),FALSE)</f>
        <v>0</v>
      </c>
      <c r="S233" s="53" t="b">
        <f ca="1">IFERROR(__xludf.DUMMYFUNCTION("if($G233="""",false, if(isna(match(S$2, split($G233:$G383,"", "",False),0)),false,true))"),FALSE)</f>
        <v>0</v>
      </c>
      <c r="T233" s="53" t="b">
        <f ca="1">IFERROR(__xludf.DUMMYFUNCTION("if($G233="""",false, if(isna(match(T$2, split($G233:$G383,"", "",False),0)),false,true))"),FALSE)</f>
        <v>0</v>
      </c>
      <c r="U233" s="53" t="b">
        <f ca="1">IFERROR(__xludf.DUMMYFUNCTION("if($G233="""",false, if(isna(match(U$2, split($G233:$G383,"", "",False),0)),false,true))"),FALSE)</f>
        <v>0</v>
      </c>
      <c r="V233" s="53" t="b">
        <f ca="1">IFERROR(__xludf.DUMMYFUNCTION("if($G233="""",false, if(isna(match(V$2, split($G233:$G383,"", "",False),0)),false,true))"),FALSE)</f>
        <v>0</v>
      </c>
      <c r="W233" s="57" t="b">
        <f ca="1">IFERROR(__xludf.DUMMYFUNCTION("if($G233="""",false, if(isna(match(W$2, split($G233:$G383,"", "",False),0)),false,true))"),FALSE)</f>
        <v>0</v>
      </c>
    </row>
    <row r="234" spans="1:23" ht="28">
      <c r="A234" s="47" t="s">
        <v>699</v>
      </c>
      <c r="B234" s="47" t="s">
        <v>65</v>
      </c>
      <c r="C234" s="49" t="s">
        <v>587</v>
      </c>
      <c r="D234" s="52" t="s">
        <v>669</v>
      </c>
      <c r="E234" s="49" t="s">
        <v>695</v>
      </c>
      <c r="F234" s="52" t="s">
        <v>700</v>
      </c>
      <c r="G234" s="59" t="s">
        <v>110</v>
      </c>
      <c r="H234" s="53" t="b">
        <f ca="1">IFERROR(__xludf.DUMMYFUNCTION("if($G234="""",false, if(isna(match(H$2, split($G234:$G383,"", "",False),0)),false,true))"),FALSE)</f>
        <v>0</v>
      </c>
      <c r="I234" s="53" t="b">
        <f ca="1">IFERROR(__xludf.DUMMYFUNCTION("if($G234="""",false, if(isna(match(I$2, split($G234:$G383,"", "",False),0)),false,true))"),FALSE)</f>
        <v>0</v>
      </c>
      <c r="J234" s="53" t="b">
        <f ca="1">IFERROR(__xludf.DUMMYFUNCTION("if($G234="""",false, if(isna(match(J$2, split($G234:$G383,"", "",False),0)),false,true))"),TRUE)</f>
        <v>1</v>
      </c>
      <c r="K234" s="53" t="b">
        <f ca="1">IFERROR(__xludf.DUMMYFUNCTION("if($G234="""",false, if(isna(match(K$2, split($G234:$G383,"", "",False),0)),false,true))"),FALSE)</f>
        <v>0</v>
      </c>
      <c r="L234" s="53" t="b">
        <f ca="1">IFERROR(__xludf.DUMMYFUNCTION("if($G234="""",false, if(isna(match(L$2, split($G234:$G383,"", "",False),0)),false,true))"),FALSE)</f>
        <v>0</v>
      </c>
      <c r="M234" s="53" t="b">
        <f ca="1">IFERROR(__xludf.DUMMYFUNCTION("if($G234="""",false, if(isna(match(M$2, split($G234:$G383,"", "",False),0)),false,true))"),FALSE)</f>
        <v>0</v>
      </c>
      <c r="N234" s="53" t="b">
        <f ca="1">IFERROR(__xludf.DUMMYFUNCTION("if($G234="""",false, if(isna(match(N$2, split($G234:$G383,"", "",False),0)),false,true))"),FALSE)</f>
        <v>0</v>
      </c>
      <c r="O234" s="53" t="b">
        <f ca="1">IFERROR(__xludf.DUMMYFUNCTION("if($G234="""",false, if(isna(match(O$2, split($G234:$G383,"", "",False),0)),false,true))"),FALSE)</f>
        <v>0</v>
      </c>
      <c r="P234" s="53" t="b">
        <f ca="1">IFERROR(__xludf.DUMMYFUNCTION("if($G234="""",false, if(isna(match(P$2, split($G234:$G383,"", "",False),0)),false,true))"),FALSE)</f>
        <v>0</v>
      </c>
      <c r="Q234" s="53" t="b">
        <f ca="1">IFERROR(__xludf.DUMMYFUNCTION("if($G234="""",false, if(isna(match(Q$2, split($G234:$G383,"", "",False),0)),false,true))"),FALSE)</f>
        <v>0</v>
      </c>
      <c r="R234" s="53" t="b">
        <f ca="1">IFERROR(__xludf.DUMMYFUNCTION("if($G234="""",false, if(isna(match(R$2, split($G234:$G383,"", "",False),0)),false,true))"),FALSE)</f>
        <v>0</v>
      </c>
      <c r="S234" s="53" t="b">
        <f ca="1">IFERROR(__xludf.DUMMYFUNCTION("if($G234="""",false, if(isna(match(S$2, split($G234:$G383,"", "",False),0)),false,true))"),FALSE)</f>
        <v>0</v>
      </c>
      <c r="T234" s="53" t="b">
        <f ca="1">IFERROR(__xludf.DUMMYFUNCTION("if($G234="""",false, if(isna(match(T$2, split($G234:$G383,"", "",False),0)),false,true))"),FALSE)</f>
        <v>0</v>
      </c>
      <c r="U234" s="53" t="b">
        <f ca="1">IFERROR(__xludf.DUMMYFUNCTION("if($G234="""",false, if(isna(match(U$2, split($G234:$G383,"", "",False),0)),false,true))"),FALSE)</f>
        <v>0</v>
      </c>
      <c r="V234" s="53" t="b">
        <f ca="1">IFERROR(__xludf.DUMMYFUNCTION("if($G234="""",false, if(isna(match(V$2, split($G234:$G383,"", "",False),0)),false,true))"),FALSE)</f>
        <v>0</v>
      </c>
      <c r="W234" s="57" t="b">
        <f ca="1">IFERROR(__xludf.DUMMYFUNCTION("if($G234="""",false, if(isna(match(W$2, split($G234:$G383,"", "",False),0)),false,true))"),FALSE)</f>
        <v>0</v>
      </c>
    </row>
    <row r="235" spans="1:23" ht="140">
      <c r="A235" s="47" t="s">
        <v>701</v>
      </c>
      <c r="B235" s="47" t="s">
        <v>65</v>
      </c>
      <c r="C235" s="49" t="s">
        <v>587</v>
      </c>
      <c r="D235" s="52" t="s">
        <v>669</v>
      </c>
      <c r="E235" s="49" t="s">
        <v>702</v>
      </c>
      <c r="F235" s="52" t="s">
        <v>703</v>
      </c>
      <c r="G235" s="59" t="s">
        <v>110</v>
      </c>
      <c r="H235" s="53" t="b">
        <f ca="1">IFERROR(__xludf.DUMMYFUNCTION("if($G235="""",false, if(isna(match(H$2, split($G235:$G383,"", "",False),0)),false,true))"),FALSE)</f>
        <v>0</v>
      </c>
      <c r="I235" s="53" t="b">
        <f ca="1">IFERROR(__xludf.DUMMYFUNCTION("if($G235="""",false, if(isna(match(I$2, split($G235:$G383,"", "",False),0)),false,true))"),FALSE)</f>
        <v>0</v>
      </c>
      <c r="J235" s="53" t="b">
        <f ca="1">IFERROR(__xludf.DUMMYFUNCTION("if($G235="""",false, if(isna(match(J$2, split($G235:$G383,"", "",False),0)),false,true))"),TRUE)</f>
        <v>1</v>
      </c>
      <c r="K235" s="53" t="b">
        <f ca="1">IFERROR(__xludf.DUMMYFUNCTION("if($G235="""",false, if(isna(match(K$2, split($G235:$G383,"", "",False),0)),false,true))"),FALSE)</f>
        <v>0</v>
      </c>
      <c r="L235" s="53" t="b">
        <f ca="1">IFERROR(__xludf.DUMMYFUNCTION("if($G235="""",false, if(isna(match(L$2, split($G235:$G383,"", "",False),0)),false,true))"),FALSE)</f>
        <v>0</v>
      </c>
      <c r="M235" s="53" t="b">
        <f ca="1">IFERROR(__xludf.DUMMYFUNCTION("if($G235="""",false, if(isna(match(M$2, split($G235:$G383,"", "",False),0)),false,true))"),FALSE)</f>
        <v>0</v>
      </c>
      <c r="N235" s="53" t="b">
        <f ca="1">IFERROR(__xludf.DUMMYFUNCTION("if($G235="""",false, if(isna(match(N$2, split($G235:$G383,"", "",False),0)),false,true))"),FALSE)</f>
        <v>0</v>
      </c>
      <c r="O235" s="53" t="b">
        <f ca="1">IFERROR(__xludf.DUMMYFUNCTION("if($G235="""",false, if(isna(match(O$2, split($G235:$G383,"", "",False),0)),false,true))"),FALSE)</f>
        <v>0</v>
      </c>
      <c r="P235" s="53" t="b">
        <f ca="1">IFERROR(__xludf.DUMMYFUNCTION("if($G235="""",false, if(isna(match(P$2, split($G235:$G383,"", "",False),0)),false,true))"),FALSE)</f>
        <v>0</v>
      </c>
      <c r="Q235" s="53" t="b">
        <f ca="1">IFERROR(__xludf.DUMMYFUNCTION("if($G235="""",false, if(isna(match(Q$2, split($G235:$G383,"", "",False),0)),false,true))"),FALSE)</f>
        <v>0</v>
      </c>
      <c r="R235" s="53" t="b">
        <f ca="1">IFERROR(__xludf.DUMMYFUNCTION("if($G235="""",false, if(isna(match(R$2, split($G235:$G383,"", "",False),0)),false,true))"),FALSE)</f>
        <v>0</v>
      </c>
      <c r="S235" s="53" t="b">
        <f ca="1">IFERROR(__xludf.DUMMYFUNCTION("if($G235="""",false, if(isna(match(S$2, split($G235:$G383,"", "",False),0)),false,true))"),FALSE)</f>
        <v>0</v>
      </c>
      <c r="T235" s="53" t="b">
        <f ca="1">IFERROR(__xludf.DUMMYFUNCTION("if($G235="""",false, if(isna(match(T$2, split($G235:$G383,"", "",False),0)),false,true))"),FALSE)</f>
        <v>0</v>
      </c>
      <c r="U235" s="53" t="b">
        <f ca="1">IFERROR(__xludf.DUMMYFUNCTION("if($G235="""",false, if(isna(match(U$2, split($G235:$G383,"", "",False),0)),false,true))"),FALSE)</f>
        <v>0</v>
      </c>
      <c r="V235" s="53" t="b">
        <f ca="1">IFERROR(__xludf.DUMMYFUNCTION("if($G235="""",false, if(isna(match(V$2, split($G235:$G383,"", "",False),0)),false,true))"),FALSE)</f>
        <v>0</v>
      </c>
      <c r="W235" s="57" t="b">
        <f ca="1">IFERROR(__xludf.DUMMYFUNCTION("if($G235="""",false, if(isna(match(W$2, split($G235:$G383,"", "",False),0)),false,true))"),FALSE)</f>
        <v>0</v>
      </c>
    </row>
    <row r="236" spans="1:23" ht="28">
      <c r="A236" s="47" t="s">
        <v>704</v>
      </c>
      <c r="B236" s="47" t="s">
        <v>65</v>
      </c>
      <c r="C236" s="49" t="s">
        <v>587</v>
      </c>
      <c r="D236" s="52" t="s">
        <v>669</v>
      </c>
      <c r="E236" s="49" t="s">
        <v>702</v>
      </c>
      <c r="F236" s="52" t="s">
        <v>705</v>
      </c>
      <c r="G236" s="59" t="s">
        <v>110</v>
      </c>
      <c r="H236" s="53" t="b">
        <f ca="1">IFERROR(__xludf.DUMMYFUNCTION("if($G236="""",false, if(isna(match(H$2, split($G236:$G383,"", "",False),0)),false,true))"),FALSE)</f>
        <v>0</v>
      </c>
      <c r="I236" s="53" t="b">
        <f ca="1">IFERROR(__xludf.DUMMYFUNCTION("if($G236="""",false, if(isna(match(I$2, split($G236:$G383,"", "",False),0)),false,true))"),FALSE)</f>
        <v>0</v>
      </c>
      <c r="J236" s="53" t="b">
        <f ca="1">IFERROR(__xludf.DUMMYFUNCTION("if($G236="""",false, if(isna(match(J$2, split($G236:$G383,"", "",False),0)),false,true))"),TRUE)</f>
        <v>1</v>
      </c>
      <c r="K236" s="53" t="b">
        <f ca="1">IFERROR(__xludf.DUMMYFUNCTION("if($G236="""",false, if(isna(match(K$2, split($G236:$G383,"", "",False),0)),false,true))"),FALSE)</f>
        <v>0</v>
      </c>
      <c r="L236" s="53" t="b">
        <f ca="1">IFERROR(__xludf.DUMMYFUNCTION("if($G236="""",false, if(isna(match(L$2, split($G236:$G383,"", "",False),0)),false,true))"),FALSE)</f>
        <v>0</v>
      </c>
      <c r="M236" s="53" t="b">
        <f ca="1">IFERROR(__xludf.DUMMYFUNCTION("if($G236="""",false, if(isna(match(M$2, split($G236:$G383,"", "",False),0)),false,true))"),FALSE)</f>
        <v>0</v>
      </c>
      <c r="N236" s="53" t="b">
        <f ca="1">IFERROR(__xludf.DUMMYFUNCTION("if($G236="""",false, if(isna(match(N$2, split($G236:$G383,"", "",False),0)),false,true))"),FALSE)</f>
        <v>0</v>
      </c>
      <c r="O236" s="53" t="b">
        <f ca="1">IFERROR(__xludf.DUMMYFUNCTION("if($G236="""",false, if(isna(match(O$2, split($G236:$G383,"", "",False),0)),false,true))"),FALSE)</f>
        <v>0</v>
      </c>
      <c r="P236" s="53" t="b">
        <f ca="1">IFERROR(__xludf.DUMMYFUNCTION("if($G236="""",false, if(isna(match(P$2, split($G236:$G383,"", "",False),0)),false,true))"),FALSE)</f>
        <v>0</v>
      </c>
      <c r="Q236" s="53" t="b">
        <f ca="1">IFERROR(__xludf.DUMMYFUNCTION("if($G236="""",false, if(isna(match(Q$2, split($G236:$G383,"", "",False),0)),false,true))"),FALSE)</f>
        <v>0</v>
      </c>
      <c r="R236" s="53" t="b">
        <f ca="1">IFERROR(__xludf.DUMMYFUNCTION("if($G236="""",false, if(isna(match(R$2, split($G236:$G383,"", "",False),0)),false,true))"),FALSE)</f>
        <v>0</v>
      </c>
      <c r="S236" s="53" t="b">
        <f ca="1">IFERROR(__xludf.DUMMYFUNCTION("if($G236="""",false, if(isna(match(S$2, split($G236:$G383,"", "",False),0)),false,true))"),FALSE)</f>
        <v>0</v>
      </c>
      <c r="T236" s="53" t="b">
        <f ca="1">IFERROR(__xludf.DUMMYFUNCTION("if($G236="""",false, if(isna(match(T$2, split($G236:$G383,"", "",False),0)),false,true))"),FALSE)</f>
        <v>0</v>
      </c>
      <c r="U236" s="53" t="b">
        <f ca="1">IFERROR(__xludf.DUMMYFUNCTION("if($G236="""",false, if(isna(match(U$2, split($G236:$G383,"", "",False),0)),false,true))"),FALSE)</f>
        <v>0</v>
      </c>
      <c r="V236" s="53" t="b">
        <f ca="1">IFERROR(__xludf.DUMMYFUNCTION("if($G236="""",false, if(isna(match(V$2, split($G236:$G383,"", "",False),0)),false,true))"),FALSE)</f>
        <v>0</v>
      </c>
      <c r="W236" s="57" t="b">
        <f ca="1">IFERROR(__xludf.DUMMYFUNCTION("if($G236="""",false, if(isna(match(W$2, split($G236:$G383,"", "",False),0)),false,true))"),FALSE)</f>
        <v>0</v>
      </c>
    </row>
    <row r="237" spans="1:23" ht="56">
      <c r="A237" s="47" t="s">
        <v>706</v>
      </c>
      <c r="B237" s="47" t="s">
        <v>65</v>
      </c>
      <c r="C237" s="49" t="s">
        <v>587</v>
      </c>
      <c r="D237" s="52" t="s">
        <v>669</v>
      </c>
      <c r="E237" s="49" t="s">
        <v>707</v>
      </c>
      <c r="F237" s="52" t="s">
        <v>708</v>
      </c>
      <c r="G237" s="59"/>
      <c r="H237" s="53" t="b">
        <f ca="1">IFERROR(__xludf.DUMMYFUNCTION("if($G237="""",false, if(isna(match(H$2, split($G237:$G383,"", "",False),0)),false,true))"),FALSE)</f>
        <v>0</v>
      </c>
      <c r="I237" s="53" t="b">
        <f ca="1">IFERROR(__xludf.DUMMYFUNCTION("if($G237="""",false, if(isna(match(I$2, split($G237:$G383,"", "",False),0)),false,true))"),FALSE)</f>
        <v>0</v>
      </c>
      <c r="J237" s="53" t="b">
        <f ca="1">IFERROR(__xludf.DUMMYFUNCTION("if($G237="""",false, if(isna(match(J$2, split($G237:$G383,"", "",False),0)),false,true))"),FALSE)</f>
        <v>0</v>
      </c>
      <c r="K237" s="53" t="b">
        <f ca="1">IFERROR(__xludf.DUMMYFUNCTION("if($G237="""",false, if(isna(match(K$2, split($G237:$G383,"", "",False),0)),false,true))"),FALSE)</f>
        <v>0</v>
      </c>
      <c r="L237" s="53" t="b">
        <f ca="1">IFERROR(__xludf.DUMMYFUNCTION("if($G237="""",false, if(isna(match(L$2, split($G237:$G383,"", "",False),0)),false,true))"),FALSE)</f>
        <v>0</v>
      </c>
      <c r="M237" s="53" t="b">
        <f ca="1">IFERROR(__xludf.DUMMYFUNCTION("if($G237="""",false, if(isna(match(M$2, split($G237:$G383,"", "",False),0)),false,true))"),FALSE)</f>
        <v>0</v>
      </c>
      <c r="N237" s="53" t="b">
        <f ca="1">IFERROR(__xludf.DUMMYFUNCTION("if($G237="""",false, if(isna(match(N$2, split($G237:$G383,"", "",False),0)),false,true))"),FALSE)</f>
        <v>0</v>
      </c>
      <c r="O237" s="53" t="b">
        <f ca="1">IFERROR(__xludf.DUMMYFUNCTION("if($G237="""",false, if(isna(match(O$2, split($G237:$G383,"", "",False),0)),false,true))"),FALSE)</f>
        <v>0</v>
      </c>
      <c r="P237" s="53" t="b">
        <f ca="1">IFERROR(__xludf.DUMMYFUNCTION("if($G237="""",false, if(isna(match(P$2, split($G237:$G383,"", "",False),0)),false,true))"),FALSE)</f>
        <v>0</v>
      </c>
      <c r="Q237" s="53" t="b">
        <f ca="1">IFERROR(__xludf.DUMMYFUNCTION("if($G237="""",false, if(isna(match(Q$2, split($G237:$G383,"", "",False),0)),false,true))"),FALSE)</f>
        <v>0</v>
      </c>
      <c r="R237" s="53" t="b">
        <f ca="1">IFERROR(__xludf.DUMMYFUNCTION("if($G237="""",false, if(isna(match(R$2, split($G237:$G383,"", "",False),0)),false,true))"),FALSE)</f>
        <v>0</v>
      </c>
      <c r="S237" s="53" t="b">
        <f ca="1">IFERROR(__xludf.DUMMYFUNCTION("if($G237="""",false, if(isna(match(S$2, split($G237:$G383,"", "",False),0)),false,true))"),FALSE)</f>
        <v>0</v>
      </c>
      <c r="T237" s="53" t="b">
        <f ca="1">IFERROR(__xludf.DUMMYFUNCTION("if($G237="""",false, if(isna(match(T$2, split($G237:$G383,"", "",False),0)),false,true))"),FALSE)</f>
        <v>0</v>
      </c>
      <c r="U237" s="53" t="b">
        <f ca="1">IFERROR(__xludf.DUMMYFUNCTION("if($G237="""",false, if(isna(match(U$2, split($G237:$G383,"", "",False),0)),false,true))"),FALSE)</f>
        <v>0</v>
      </c>
      <c r="V237" s="53" t="b">
        <f ca="1">IFERROR(__xludf.DUMMYFUNCTION("if($G237="""",false, if(isna(match(V$2, split($G237:$G383,"", "",False),0)),false,true))"),FALSE)</f>
        <v>0</v>
      </c>
      <c r="W237" s="57" t="b">
        <f ca="1">IFERROR(__xludf.DUMMYFUNCTION("if($G237="""",false, if(isna(match(W$2, split($G237:$G383,"", "",False),0)),false,true))"),FALSE)</f>
        <v>0</v>
      </c>
    </row>
    <row r="238" spans="1:23" ht="28">
      <c r="A238" s="47" t="s">
        <v>709</v>
      </c>
      <c r="B238" s="47" t="s">
        <v>65</v>
      </c>
      <c r="C238" s="49" t="s">
        <v>587</v>
      </c>
      <c r="D238" s="52" t="s">
        <v>669</v>
      </c>
      <c r="E238" s="49" t="s">
        <v>707</v>
      </c>
      <c r="F238" s="52" t="s">
        <v>710</v>
      </c>
      <c r="G238" s="59"/>
      <c r="H238" s="53" t="b">
        <f ca="1">IFERROR(__xludf.DUMMYFUNCTION("if($G238="""",false, if(isna(match(H$2, split($G238:$G383,"", "",False),0)),false,true))"),FALSE)</f>
        <v>0</v>
      </c>
      <c r="I238" s="53" t="b">
        <f ca="1">IFERROR(__xludf.DUMMYFUNCTION("if($G238="""",false, if(isna(match(I$2, split($G238:$G383,"", "",False),0)),false,true))"),FALSE)</f>
        <v>0</v>
      </c>
      <c r="J238" s="53" t="b">
        <f ca="1">IFERROR(__xludf.DUMMYFUNCTION("if($G238="""",false, if(isna(match(J$2, split($G238:$G383,"", "",False),0)),false,true))"),FALSE)</f>
        <v>0</v>
      </c>
      <c r="K238" s="53" t="b">
        <f ca="1">IFERROR(__xludf.DUMMYFUNCTION("if($G238="""",false, if(isna(match(K$2, split($G238:$G383,"", "",False),0)),false,true))"),FALSE)</f>
        <v>0</v>
      </c>
      <c r="L238" s="53" t="b">
        <f ca="1">IFERROR(__xludf.DUMMYFUNCTION("if($G238="""",false, if(isna(match(L$2, split($G238:$G383,"", "",False),0)),false,true))"),FALSE)</f>
        <v>0</v>
      </c>
      <c r="M238" s="53" t="b">
        <f ca="1">IFERROR(__xludf.DUMMYFUNCTION("if($G238="""",false, if(isna(match(M$2, split($G238:$G383,"", "",False),0)),false,true))"),FALSE)</f>
        <v>0</v>
      </c>
      <c r="N238" s="53" t="b">
        <f ca="1">IFERROR(__xludf.DUMMYFUNCTION("if($G238="""",false, if(isna(match(N$2, split($G238:$G383,"", "",False),0)),false,true))"),FALSE)</f>
        <v>0</v>
      </c>
      <c r="O238" s="53" t="b">
        <f ca="1">IFERROR(__xludf.DUMMYFUNCTION("if($G238="""",false, if(isna(match(O$2, split($G238:$G383,"", "",False),0)),false,true))"),FALSE)</f>
        <v>0</v>
      </c>
      <c r="P238" s="53" t="b">
        <f ca="1">IFERROR(__xludf.DUMMYFUNCTION("if($G238="""",false, if(isna(match(P$2, split($G238:$G383,"", "",False),0)),false,true))"),FALSE)</f>
        <v>0</v>
      </c>
      <c r="Q238" s="53" t="b">
        <f ca="1">IFERROR(__xludf.DUMMYFUNCTION("if($G238="""",false, if(isna(match(Q$2, split($G238:$G383,"", "",False),0)),false,true))"),FALSE)</f>
        <v>0</v>
      </c>
      <c r="R238" s="53" t="b">
        <f ca="1">IFERROR(__xludf.DUMMYFUNCTION("if($G238="""",false, if(isna(match(R$2, split($G238:$G383,"", "",False),0)),false,true))"),FALSE)</f>
        <v>0</v>
      </c>
      <c r="S238" s="53" t="b">
        <f ca="1">IFERROR(__xludf.DUMMYFUNCTION("if($G238="""",false, if(isna(match(S$2, split($G238:$G383,"", "",False),0)),false,true))"),FALSE)</f>
        <v>0</v>
      </c>
      <c r="T238" s="53" t="b">
        <f ca="1">IFERROR(__xludf.DUMMYFUNCTION("if($G238="""",false, if(isna(match(T$2, split($G238:$G383,"", "",False),0)),false,true))"),FALSE)</f>
        <v>0</v>
      </c>
      <c r="U238" s="53" t="b">
        <f ca="1">IFERROR(__xludf.DUMMYFUNCTION("if($G238="""",false, if(isna(match(U$2, split($G238:$G383,"", "",False),0)),false,true))"),FALSE)</f>
        <v>0</v>
      </c>
      <c r="V238" s="53" t="b">
        <f ca="1">IFERROR(__xludf.DUMMYFUNCTION("if($G238="""",false, if(isna(match(V$2, split($G238:$G383,"", "",False),0)),false,true))"),FALSE)</f>
        <v>0</v>
      </c>
      <c r="W238" s="57" t="b">
        <f ca="1">IFERROR(__xludf.DUMMYFUNCTION("if($G238="""",false, if(isna(match(W$2, split($G238:$G383,"", "",False),0)),false,true))"),FALSE)</f>
        <v>0</v>
      </c>
    </row>
    <row r="239" spans="1:23" ht="70">
      <c r="A239" s="47" t="s">
        <v>711</v>
      </c>
      <c r="B239" s="47" t="s">
        <v>65</v>
      </c>
      <c r="C239" s="49" t="s">
        <v>587</v>
      </c>
      <c r="D239" s="52" t="s">
        <v>712</v>
      </c>
      <c r="E239" s="49" t="s">
        <v>713</v>
      </c>
      <c r="F239" s="52" t="s">
        <v>714</v>
      </c>
      <c r="G239" s="59" t="s">
        <v>120</v>
      </c>
      <c r="H239" s="53" t="b">
        <f ca="1">IFERROR(__xludf.DUMMYFUNCTION("if($G239="""",false, if(isna(match(H$2, split($G239:$G383,"", "",False),0)),false,true))"),FALSE)</f>
        <v>0</v>
      </c>
      <c r="I239" s="53" t="b">
        <f ca="1">IFERROR(__xludf.DUMMYFUNCTION("if($G239="""",false, if(isna(match(I$2, split($G239:$G383,"", "",False),0)),false,true))"),FALSE)</f>
        <v>0</v>
      </c>
      <c r="J239" s="53" t="b">
        <f ca="1">IFERROR(__xludf.DUMMYFUNCTION("if($G239="""",false, if(isna(match(J$2, split($G239:$G383,"", "",False),0)),false,true))"),FALSE)</f>
        <v>0</v>
      </c>
      <c r="K239" s="53" t="b">
        <f ca="1">IFERROR(__xludf.DUMMYFUNCTION("if($G239="""",false, if(isna(match(K$2, split($G239:$G383,"", "",False),0)),false,true))"),FALSE)</f>
        <v>0</v>
      </c>
      <c r="L239" s="53" t="b">
        <f ca="1">IFERROR(__xludf.DUMMYFUNCTION("if($G239="""",false, if(isna(match(L$2, split($G239:$G383,"", "",False),0)),false,true))"),FALSE)</f>
        <v>0</v>
      </c>
      <c r="M239" s="53" t="b">
        <f ca="1">IFERROR(__xludf.DUMMYFUNCTION("if($G239="""",false, if(isna(match(M$2, split($G239:$G383,"", "",False),0)),false,true))"),FALSE)</f>
        <v>0</v>
      </c>
      <c r="N239" s="53" t="b">
        <f ca="1">IFERROR(__xludf.DUMMYFUNCTION("if($G239="""",false, if(isna(match(N$2, split($G239:$G383,"", "",False),0)),false,true))"),FALSE)</f>
        <v>0</v>
      </c>
      <c r="O239" s="53" t="b">
        <f ca="1">IFERROR(__xludf.DUMMYFUNCTION("if($G239="""",false, if(isna(match(O$2, split($G239:$G383,"", "",False),0)),false,true))"),FALSE)</f>
        <v>0</v>
      </c>
      <c r="P239" s="53" t="b">
        <f ca="1">IFERROR(__xludf.DUMMYFUNCTION("if($G239="""",false, if(isna(match(P$2, split($G239:$G383,"", "",False),0)),false,true))"),FALSE)</f>
        <v>0</v>
      </c>
      <c r="Q239" s="53" t="b">
        <f ca="1">IFERROR(__xludf.DUMMYFUNCTION("if($G239="""",false, if(isna(match(Q$2, split($G239:$G383,"", "",False),0)),false,true))"),FALSE)</f>
        <v>0</v>
      </c>
      <c r="R239" s="53" t="b">
        <f ca="1">IFERROR(__xludf.DUMMYFUNCTION("if($G239="""",false, if(isna(match(R$2, split($G239:$G383,"", "",False),0)),false,true))"),FALSE)</f>
        <v>0</v>
      </c>
      <c r="S239" s="53" t="b">
        <f ca="1">IFERROR(__xludf.DUMMYFUNCTION("if($G239="""",false, if(isna(match(S$2, split($G239:$G383,"", "",False),0)),false,true))"),FALSE)</f>
        <v>0</v>
      </c>
      <c r="T239" s="53" t="b">
        <f ca="1">IFERROR(__xludf.DUMMYFUNCTION("if($G239="""",false, if(isna(match(T$2, split($G239:$G383,"", "",False),0)),false,true))"),TRUE)</f>
        <v>1</v>
      </c>
      <c r="U239" s="53" t="b">
        <f ca="1">IFERROR(__xludf.DUMMYFUNCTION("if($G239="""",false, if(isna(match(U$2, split($G239:$G383,"", "",False),0)),false,true))"),FALSE)</f>
        <v>0</v>
      </c>
      <c r="V239" s="53" t="b">
        <f ca="1">IFERROR(__xludf.DUMMYFUNCTION("if($G239="""",false, if(isna(match(V$2, split($G239:$G383,"", "",False),0)),false,true))"),FALSE)</f>
        <v>0</v>
      </c>
      <c r="W239" s="57" t="b">
        <f ca="1">IFERROR(__xludf.DUMMYFUNCTION("if($G239="""",false, if(isna(match(W$2, split($G239:$G383,"", "",False),0)),false,true))"),FALSE)</f>
        <v>0</v>
      </c>
    </row>
    <row r="240" spans="1:23" ht="42">
      <c r="A240" s="47" t="s">
        <v>715</v>
      </c>
      <c r="B240" s="47" t="s">
        <v>65</v>
      </c>
      <c r="C240" s="49" t="s">
        <v>587</v>
      </c>
      <c r="D240" s="52" t="s">
        <v>712</v>
      </c>
      <c r="E240" s="49" t="s">
        <v>713</v>
      </c>
      <c r="F240" s="52" t="s">
        <v>716</v>
      </c>
      <c r="G240" s="59" t="s">
        <v>120</v>
      </c>
      <c r="H240" s="53" t="b">
        <f ca="1">IFERROR(__xludf.DUMMYFUNCTION("if($G240="""",false, if(isna(match(H$2, split($G240:$G383,"", "",False),0)),false,true))"),FALSE)</f>
        <v>0</v>
      </c>
      <c r="I240" s="53" t="b">
        <f ca="1">IFERROR(__xludf.DUMMYFUNCTION("if($G240="""",false, if(isna(match(I$2, split($G240:$G383,"", "",False),0)),false,true))"),FALSE)</f>
        <v>0</v>
      </c>
      <c r="J240" s="53" t="b">
        <f ca="1">IFERROR(__xludf.DUMMYFUNCTION("if($G240="""",false, if(isna(match(J$2, split($G240:$G383,"", "",False),0)),false,true))"),FALSE)</f>
        <v>0</v>
      </c>
      <c r="K240" s="53" t="b">
        <f ca="1">IFERROR(__xludf.DUMMYFUNCTION("if($G240="""",false, if(isna(match(K$2, split($G240:$G383,"", "",False),0)),false,true))"),FALSE)</f>
        <v>0</v>
      </c>
      <c r="L240" s="53" t="b">
        <f ca="1">IFERROR(__xludf.DUMMYFUNCTION("if($G240="""",false, if(isna(match(L$2, split($G240:$G383,"", "",False),0)),false,true))"),FALSE)</f>
        <v>0</v>
      </c>
      <c r="M240" s="53" t="b">
        <f ca="1">IFERROR(__xludf.DUMMYFUNCTION("if($G240="""",false, if(isna(match(M$2, split($G240:$G383,"", "",False),0)),false,true))"),FALSE)</f>
        <v>0</v>
      </c>
      <c r="N240" s="53" t="b">
        <f ca="1">IFERROR(__xludf.DUMMYFUNCTION("if($G240="""",false, if(isna(match(N$2, split($G240:$G383,"", "",False),0)),false,true))"),FALSE)</f>
        <v>0</v>
      </c>
      <c r="O240" s="53" t="b">
        <f ca="1">IFERROR(__xludf.DUMMYFUNCTION("if($G240="""",false, if(isna(match(O$2, split($G240:$G383,"", "",False),0)),false,true))"),FALSE)</f>
        <v>0</v>
      </c>
      <c r="P240" s="53" t="b">
        <f ca="1">IFERROR(__xludf.DUMMYFUNCTION("if($G240="""",false, if(isna(match(P$2, split($G240:$G383,"", "",False),0)),false,true))"),FALSE)</f>
        <v>0</v>
      </c>
      <c r="Q240" s="53" t="b">
        <f ca="1">IFERROR(__xludf.DUMMYFUNCTION("if($G240="""",false, if(isna(match(Q$2, split($G240:$G383,"", "",False),0)),false,true))"),FALSE)</f>
        <v>0</v>
      </c>
      <c r="R240" s="53" t="b">
        <f ca="1">IFERROR(__xludf.DUMMYFUNCTION("if($G240="""",false, if(isna(match(R$2, split($G240:$G383,"", "",False),0)),false,true))"),FALSE)</f>
        <v>0</v>
      </c>
      <c r="S240" s="53" t="b">
        <f ca="1">IFERROR(__xludf.DUMMYFUNCTION("if($G240="""",false, if(isna(match(S$2, split($G240:$G383,"", "",False),0)),false,true))"),FALSE)</f>
        <v>0</v>
      </c>
      <c r="T240" s="53" t="b">
        <f ca="1">IFERROR(__xludf.DUMMYFUNCTION("if($G240="""",false, if(isna(match(T$2, split($G240:$G383,"", "",False),0)),false,true))"),TRUE)</f>
        <v>1</v>
      </c>
      <c r="U240" s="53" t="b">
        <f ca="1">IFERROR(__xludf.DUMMYFUNCTION("if($G240="""",false, if(isna(match(U$2, split($G240:$G383,"", "",False),0)),false,true))"),FALSE)</f>
        <v>0</v>
      </c>
      <c r="V240" s="53" t="b">
        <f ca="1">IFERROR(__xludf.DUMMYFUNCTION("if($G240="""",false, if(isna(match(V$2, split($G240:$G383,"", "",False),0)),false,true))"),FALSE)</f>
        <v>0</v>
      </c>
      <c r="W240" s="57" t="b">
        <f ca="1">IFERROR(__xludf.DUMMYFUNCTION("if($G240="""",false, if(isna(match(W$2, split($G240:$G383,"", "",False),0)),false,true))"),FALSE)</f>
        <v>0</v>
      </c>
    </row>
    <row r="241" spans="1:23" ht="28">
      <c r="A241" s="47" t="s">
        <v>717</v>
      </c>
      <c r="B241" s="47" t="s">
        <v>65</v>
      </c>
      <c r="C241" s="49" t="s">
        <v>587</v>
      </c>
      <c r="D241" s="52" t="s">
        <v>712</v>
      </c>
      <c r="E241" s="49" t="s">
        <v>718</v>
      </c>
      <c r="F241" s="52" t="s">
        <v>719</v>
      </c>
      <c r="G241" s="59" t="s">
        <v>197</v>
      </c>
      <c r="H241" s="53" t="b">
        <f ca="1">IFERROR(__xludf.DUMMYFUNCTION("if($G241="""",false, if(isna(match(H$2, split($G241:$G383,"", "",False),0)),false,true))"),FALSE)</f>
        <v>0</v>
      </c>
      <c r="I241" s="53" t="b">
        <f ca="1">IFERROR(__xludf.DUMMYFUNCTION("if($G241="""",false, if(isna(match(I$2, split($G241:$G383,"", "",False),0)),false,true))"),FALSE)</f>
        <v>0</v>
      </c>
      <c r="J241" s="53" t="b">
        <f ca="1">IFERROR(__xludf.DUMMYFUNCTION("if($G241="""",false, if(isna(match(J$2, split($G241:$G383,"", "",False),0)),false,true))"),FALSE)</f>
        <v>0</v>
      </c>
      <c r="K241" s="53" t="b">
        <f ca="1">IFERROR(__xludf.DUMMYFUNCTION("if($G241="""",false, if(isna(match(K$2, split($G241:$G383,"", "",False),0)),false,true))"),FALSE)</f>
        <v>0</v>
      </c>
      <c r="L241" s="53" t="b">
        <f ca="1">IFERROR(__xludf.DUMMYFUNCTION("if($G241="""",false, if(isna(match(L$2, split($G241:$G383,"", "",False),0)),false,true))"),FALSE)</f>
        <v>0</v>
      </c>
      <c r="M241" s="53" t="b">
        <f ca="1">IFERROR(__xludf.DUMMYFUNCTION("if($G241="""",false, if(isna(match(M$2, split($G241:$G383,"", "",False),0)),false,true))"),FALSE)</f>
        <v>0</v>
      </c>
      <c r="N241" s="53" t="b">
        <f ca="1">IFERROR(__xludf.DUMMYFUNCTION("if($G241="""",false, if(isna(match(N$2, split($G241:$G383,"", "",False),0)),false,true))"),FALSE)</f>
        <v>0</v>
      </c>
      <c r="O241" s="53" t="b">
        <f ca="1">IFERROR(__xludf.DUMMYFUNCTION("if($G241="""",false, if(isna(match(O$2, split($G241:$G383,"", "",False),0)),false,true))"),FALSE)</f>
        <v>0</v>
      </c>
      <c r="P241" s="53" t="b">
        <f ca="1">IFERROR(__xludf.DUMMYFUNCTION("if($G241="""",false, if(isna(match(P$2, split($G241:$G383,"", "",False),0)),false,true))"),FALSE)</f>
        <v>0</v>
      </c>
      <c r="Q241" s="53" t="b">
        <f ca="1">IFERROR(__xludf.DUMMYFUNCTION("if($G241="""",false, if(isna(match(Q$2, split($G241:$G383,"", "",False),0)),false,true))"),FALSE)</f>
        <v>0</v>
      </c>
      <c r="R241" s="53" t="b">
        <f ca="1">IFERROR(__xludf.DUMMYFUNCTION("if($G241="""",false, if(isna(match(R$2, split($G241:$G383,"", "",False),0)),false,true))"),FALSE)</f>
        <v>0</v>
      </c>
      <c r="S241" s="53" t="b">
        <f ca="1">IFERROR(__xludf.DUMMYFUNCTION("if($G241="""",false, if(isna(match(S$2, split($G241:$G383,"", "",False),0)),false,true))"),FALSE)</f>
        <v>0</v>
      </c>
      <c r="T241" s="53" t="b">
        <f ca="1">IFERROR(__xludf.DUMMYFUNCTION("if($G241="""",false, if(isna(match(T$2, split($G241:$G383,"", "",False),0)),false,true))"),FALSE)</f>
        <v>0</v>
      </c>
      <c r="U241" s="53" t="b">
        <f ca="1">IFERROR(__xludf.DUMMYFUNCTION("if($G241="""",false, if(isna(match(U$2, split($G241:$G383,"", "",False),0)),false,true))"),FALSE)</f>
        <v>0</v>
      </c>
      <c r="V241" s="53" t="b">
        <f ca="1">IFERROR(__xludf.DUMMYFUNCTION("if($G241="""",false, if(isna(match(V$2, split($G241:$G383,"", "",False),0)),false,true))"),FALSE)</f>
        <v>0</v>
      </c>
      <c r="W241" s="57" t="b">
        <f ca="1">IFERROR(__xludf.DUMMYFUNCTION("if($G241="""",false, if(isna(match(W$2, split($G241:$G383,"", "",False),0)),false,true))"),FALSE)</f>
        <v>0</v>
      </c>
    </row>
    <row r="242" spans="1:23" ht="28">
      <c r="A242" s="47" t="s">
        <v>720</v>
      </c>
      <c r="B242" s="47" t="s">
        <v>65</v>
      </c>
      <c r="C242" s="49" t="s">
        <v>587</v>
      </c>
      <c r="D242" s="52" t="s">
        <v>721</v>
      </c>
      <c r="E242" s="49" t="s">
        <v>76</v>
      </c>
      <c r="F242" s="52" t="s">
        <v>722</v>
      </c>
      <c r="G242" s="59" t="s">
        <v>109</v>
      </c>
      <c r="H242" s="53" t="b">
        <f ca="1">IFERROR(__xludf.DUMMYFUNCTION("if($G242="""",false, if(isna(match(H$2, split($G242:$G383,"", "",False),0)),false,true))"),FALSE)</f>
        <v>0</v>
      </c>
      <c r="I242" s="53" t="b">
        <f ca="1">IFERROR(__xludf.DUMMYFUNCTION("if($G242="""",false, if(isna(match(I$2, split($G242:$G383,"", "",False),0)),false,true))"),TRUE)</f>
        <v>1</v>
      </c>
      <c r="J242" s="53" t="b">
        <f ca="1">IFERROR(__xludf.DUMMYFUNCTION("if($G242="""",false, if(isna(match(J$2, split($G242:$G383,"", "",False),0)),false,true))"),FALSE)</f>
        <v>0</v>
      </c>
      <c r="K242" s="53" t="b">
        <f ca="1">IFERROR(__xludf.DUMMYFUNCTION("if($G242="""",false, if(isna(match(K$2, split($G242:$G383,"", "",False),0)),false,true))"),FALSE)</f>
        <v>0</v>
      </c>
      <c r="L242" s="53" t="b">
        <f ca="1">IFERROR(__xludf.DUMMYFUNCTION("if($G242="""",false, if(isna(match(L$2, split($G242:$G383,"", "",False),0)),false,true))"),FALSE)</f>
        <v>0</v>
      </c>
      <c r="M242" s="53" t="b">
        <f ca="1">IFERROR(__xludf.DUMMYFUNCTION("if($G242="""",false, if(isna(match(M$2, split($G242:$G383,"", "",False),0)),false,true))"),FALSE)</f>
        <v>0</v>
      </c>
      <c r="N242" s="53" t="b">
        <f ca="1">IFERROR(__xludf.DUMMYFUNCTION("if($G242="""",false, if(isna(match(N$2, split($G242:$G383,"", "",False),0)),false,true))"),FALSE)</f>
        <v>0</v>
      </c>
      <c r="O242" s="53" t="b">
        <f ca="1">IFERROR(__xludf.DUMMYFUNCTION("if($G242="""",false, if(isna(match(O$2, split($G242:$G383,"", "",False),0)),false,true))"),FALSE)</f>
        <v>0</v>
      </c>
      <c r="P242" s="53" t="b">
        <f ca="1">IFERROR(__xludf.DUMMYFUNCTION("if($G242="""",false, if(isna(match(P$2, split($G242:$G383,"", "",False),0)),false,true))"),FALSE)</f>
        <v>0</v>
      </c>
      <c r="Q242" s="53" t="b">
        <f ca="1">IFERROR(__xludf.DUMMYFUNCTION("if($G242="""",false, if(isna(match(Q$2, split($G242:$G383,"", "",False),0)),false,true))"),FALSE)</f>
        <v>0</v>
      </c>
      <c r="R242" s="53" t="b">
        <f ca="1">IFERROR(__xludf.DUMMYFUNCTION("if($G242="""",false, if(isna(match(R$2, split($G242:$G383,"", "",False),0)),false,true))"),FALSE)</f>
        <v>0</v>
      </c>
      <c r="S242" s="53" t="b">
        <f ca="1">IFERROR(__xludf.DUMMYFUNCTION("if($G242="""",false, if(isna(match(S$2, split($G242:$G383,"", "",False),0)),false,true))"),FALSE)</f>
        <v>0</v>
      </c>
      <c r="T242" s="53" t="b">
        <f ca="1">IFERROR(__xludf.DUMMYFUNCTION("if($G242="""",false, if(isna(match(T$2, split($G242:$G383,"", "",False),0)),false,true))"),FALSE)</f>
        <v>0</v>
      </c>
      <c r="U242" s="53" t="b">
        <f ca="1">IFERROR(__xludf.DUMMYFUNCTION("if($G242="""",false, if(isna(match(U$2, split($G242:$G383,"", "",False),0)),false,true))"),FALSE)</f>
        <v>0</v>
      </c>
      <c r="V242" s="53" t="b">
        <f ca="1">IFERROR(__xludf.DUMMYFUNCTION("if($G242="""",false, if(isna(match(V$2, split($G242:$G383,"", "",False),0)),false,true))"),FALSE)</f>
        <v>0</v>
      </c>
      <c r="W242" s="57" t="b">
        <f ca="1">IFERROR(__xludf.DUMMYFUNCTION("if($G242="""",false, if(isna(match(W$2, split($G242:$G383,"", "",False),0)),false,true))"),FALSE)</f>
        <v>0</v>
      </c>
    </row>
    <row r="243" spans="1:23" ht="126">
      <c r="A243" s="47" t="s">
        <v>723</v>
      </c>
      <c r="B243" s="47" t="s">
        <v>65</v>
      </c>
      <c r="C243" s="49" t="s">
        <v>587</v>
      </c>
      <c r="D243" s="52" t="s">
        <v>721</v>
      </c>
      <c r="E243" s="49" t="s">
        <v>76</v>
      </c>
      <c r="F243" s="52" t="s">
        <v>724</v>
      </c>
      <c r="G243" s="59" t="s">
        <v>109</v>
      </c>
      <c r="H243" s="53" t="b">
        <f ca="1">IFERROR(__xludf.DUMMYFUNCTION("if($G243="""",false, if(isna(match(H$2, split($G243:$G383,"", "",False),0)),false,true))"),FALSE)</f>
        <v>0</v>
      </c>
      <c r="I243" s="53" t="b">
        <f ca="1">IFERROR(__xludf.DUMMYFUNCTION("if($G243="""",false, if(isna(match(I$2, split($G243:$G383,"", "",False),0)),false,true))"),TRUE)</f>
        <v>1</v>
      </c>
      <c r="J243" s="53" t="b">
        <f ca="1">IFERROR(__xludf.DUMMYFUNCTION("if($G243="""",false, if(isna(match(J$2, split($G243:$G383,"", "",False),0)),false,true))"),FALSE)</f>
        <v>0</v>
      </c>
      <c r="K243" s="53" t="b">
        <f ca="1">IFERROR(__xludf.DUMMYFUNCTION("if($G243="""",false, if(isna(match(K$2, split($G243:$G383,"", "",False),0)),false,true))"),FALSE)</f>
        <v>0</v>
      </c>
      <c r="L243" s="53" t="b">
        <f ca="1">IFERROR(__xludf.DUMMYFUNCTION("if($G243="""",false, if(isna(match(L$2, split($G243:$G383,"", "",False),0)),false,true))"),FALSE)</f>
        <v>0</v>
      </c>
      <c r="M243" s="53" t="b">
        <f ca="1">IFERROR(__xludf.DUMMYFUNCTION("if($G243="""",false, if(isna(match(M$2, split($G243:$G383,"", "",False),0)),false,true))"),FALSE)</f>
        <v>0</v>
      </c>
      <c r="N243" s="53" t="b">
        <f ca="1">IFERROR(__xludf.DUMMYFUNCTION("if($G243="""",false, if(isna(match(N$2, split($G243:$G383,"", "",False),0)),false,true))"),FALSE)</f>
        <v>0</v>
      </c>
      <c r="O243" s="53" t="b">
        <f ca="1">IFERROR(__xludf.DUMMYFUNCTION("if($G243="""",false, if(isna(match(O$2, split($G243:$G383,"", "",False),0)),false,true))"),FALSE)</f>
        <v>0</v>
      </c>
      <c r="P243" s="53" t="b">
        <f ca="1">IFERROR(__xludf.DUMMYFUNCTION("if($G243="""",false, if(isna(match(P$2, split($G243:$G383,"", "",False),0)),false,true))"),FALSE)</f>
        <v>0</v>
      </c>
      <c r="Q243" s="53" t="b">
        <f ca="1">IFERROR(__xludf.DUMMYFUNCTION("if($G243="""",false, if(isna(match(Q$2, split($G243:$G383,"", "",False),0)),false,true))"),FALSE)</f>
        <v>0</v>
      </c>
      <c r="R243" s="53" t="b">
        <f ca="1">IFERROR(__xludf.DUMMYFUNCTION("if($G243="""",false, if(isna(match(R$2, split($G243:$G383,"", "",False),0)),false,true))"),FALSE)</f>
        <v>0</v>
      </c>
      <c r="S243" s="53" t="b">
        <f ca="1">IFERROR(__xludf.DUMMYFUNCTION("if($G243="""",false, if(isna(match(S$2, split($G243:$G383,"", "",False),0)),false,true))"),FALSE)</f>
        <v>0</v>
      </c>
      <c r="T243" s="53" t="b">
        <f ca="1">IFERROR(__xludf.DUMMYFUNCTION("if($G243="""",false, if(isna(match(T$2, split($G243:$G383,"", "",False),0)),false,true))"),FALSE)</f>
        <v>0</v>
      </c>
      <c r="U243" s="53" t="b">
        <f ca="1">IFERROR(__xludf.DUMMYFUNCTION("if($G243="""",false, if(isna(match(U$2, split($G243:$G383,"", "",False),0)),false,true))"),FALSE)</f>
        <v>0</v>
      </c>
      <c r="V243" s="53" t="b">
        <f ca="1">IFERROR(__xludf.DUMMYFUNCTION("if($G243="""",false, if(isna(match(V$2, split($G243:$G383,"", "",False),0)),false,true))"),FALSE)</f>
        <v>0</v>
      </c>
      <c r="W243" s="57" t="b">
        <f ca="1">IFERROR(__xludf.DUMMYFUNCTION("if($G243="""",false, if(isna(match(W$2, split($G243:$G383,"", "",False),0)),false,true))"),FALSE)</f>
        <v>0</v>
      </c>
    </row>
    <row r="244" spans="1:23" ht="224">
      <c r="A244" s="47" t="s">
        <v>725</v>
      </c>
      <c r="B244" s="47" t="s">
        <v>65</v>
      </c>
      <c r="C244" s="49" t="s">
        <v>587</v>
      </c>
      <c r="D244" s="52" t="s">
        <v>721</v>
      </c>
      <c r="E244" s="49" t="s">
        <v>726</v>
      </c>
      <c r="F244" s="52" t="s">
        <v>727</v>
      </c>
      <c r="G244" s="59" t="s">
        <v>109</v>
      </c>
      <c r="H244" s="53" t="b">
        <f ca="1">IFERROR(__xludf.DUMMYFUNCTION("if($G244="""",false, if(isna(match(H$2, split($G244:$G383,"", "",False),0)),false,true))"),FALSE)</f>
        <v>0</v>
      </c>
      <c r="I244" s="53" t="b">
        <f ca="1">IFERROR(__xludf.DUMMYFUNCTION("if($G244="""",false, if(isna(match(I$2, split($G244:$G383,"", "",False),0)),false,true))"),TRUE)</f>
        <v>1</v>
      </c>
      <c r="J244" s="53" t="b">
        <f ca="1">IFERROR(__xludf.DUMMYFUNCTION("if($G244="""",false, if(isna(match(J$2, split($G244:$G383,"", "",False),0)),false,true))"),FALSE)</f>
        <v>0</v>
      </c>
      <c r="K244" s="53" t="b">
        <f ca="1">IFERROR(__xludf.DUMMYFUNCTION("if($G244="""",false, if(isna(match(K$2, split($G244:$G383,"", "",False),0)),false,true))"),FALSE)</f>
        <v>0</v>
      </c>
      <c r="L244" s="53" t="b">
        <f ca="1">IFERROR(__xludf.DUMMYFUNCTION("if($G244="""",false, if(isna(match(L$2, split($G244:$G383,"", "",False),0)),false,true))"),FALSE)</f>
        <v>0</v>
      </c>
      <c r="M244" s="53" t="b">
        <f ca="1">IFERROR(__xludf.DUMMYFUNCTION("if($G244="""",false, if(isna(match(M$2, split($G244:$G383,"", "",False),0)),false,true))"),FALSE)</f>
        <v>0</v>
      </c>
      <c r="N244" s="53" t="b">
        <f ca="1">IFERROR(__xludf.DUMMYFUNCTION("if($G244="""",false, if(isna(match(N$2, split($G244:$G383,"", "",False),0)),false,true))"),FALSE)</f>
        <v>0</v>
      </c>
      <c r="O244" s="53" t="b">
        <f ca="1">IFERROR(__xludf.DUMMYFUNCTION("if($G244="""",false, if(isna(match(O$2, split($G244:$G383,"", "",False),0)),false,true))"),FALSE)</f>
        <v>0</v>
      </c>
      <c r="P244" s="53" t="b">
        <f ca="1">IFERROR(__xludf.DUMMYFUNCTION("if($G244="""",false, if(isna(match(P$2, split($G244:$G383,"", "",False),0)),false,true))"),FALSE)</f>
        <v>0</v>
      </c>
      <c r="Q244" s="53" t="b">
        <f ca="1">IFERROR(__xludf.DUMMYFUNCTION("if($G244="""",false, if(isna(match(Q$2, split($G244:$G383,"", "",False),0)),false,true))"),FALSE)</f>
        <v>0</v>
      </c>
      <c r="R244" s="53" t="b">
        <f ca="1">IFERROR(__xludf.DUMMYFUNCTION("if($G244="""",false, if(isna(match(R$2, split($G244:$G383,"", "",False),0)),false,true))"),FALSE)</f>
        <v>0</v>
      </c>
      <c r="S244" s="53" t="b">
        <f ca="1">IFERROR(__xludf.DUMMYFUNCTION("if($G244="""",false, if(isna(match(S$2, split($G244:$G383,"", "",False),0)),false,true))"),FALSE)</f>
        <v>0</v>
      </c>
      <c r="T244" s="53" t="b">
        <f ca="1">IFERROR(__xludf.DUMMYFUNCTION("if($G244="""",false, if(isna(match(T$2, split($G244:$G383,"", "",False),0)),false,true))"),FALSE)</f>
        <v>0</v>
      </c>
      <c r="U244" s="53" t="b">
        <f ca="1">IFERROR(__xludf.DUMMYFUNCTION("if($G244="""",false, if(isna(match(U$2, split($G244:$G383,"", "",False),0)),false,true))"),FALSE)</f>
        <v>0</v>
      </c>
      <c r="V244" s="53" t="b">
        <f ca="1">IFERROR(__xludf.DUMMYFUNCTION("if($G244="""",false, if(isna(match(V$2, split($G244:$G383,"", "",False),0)),false,true))"),FALSE)</f>
        <v>0</v>
      </c>
      <c r="W244" s="57" t="b">
        <f ca="1">IFERROR(__xludf.DUMMYFUNCTION("if($G244="""",false, if(isna(match(W$2, split($G244:$G383,"", "",False),0)),false,true))"),FALSE)</f>
        <v>0</v>
      </c>
    </row>
    <row r="245" spans="1:23" ht="28">
      <c r="A245" s="47" t="s">
        <v>728</v>
      </c>
      <c r="B245" s="47" t="s">
        <v>65</v>
      </c>
      <c r="C245" s="49" t="s">
        <v>587</v>
      </c>
      <c r="D245" s="52" t="s">
        <v>729</v>
      </c>
      <c r="E245" s="49" t="s">
        <v>730</v>
      </c>
      <c r="F245" s="52" t="s">
        <v>731</v>
      </c>
      <c r="G245" s="59" t="s">
        <v>116</v>
      </c>
      <c r="H245" s="53" t="b">
        <f ca="1">IFERROR(__xludf.DUMMYFUNCTION("if($G245="""",false, if(isna(match(H$2, split($G245:$G383,"", "",False),0)),false,true))"),FALSE)</f>
        <v>0</v>
      </c>
      <c r="I245" s="53" t="b">
        <f ca="1">IFERROR(__xludf.DUMMYFUNCTION("if($G245="""",false, if(isna(match(I$2, split($G245:$G383,"", "",False),0)),false,true))"),FALSE)</f>
        <v>0</v>
      </c>
      <c r="J245" s="53" t="b">
        <f ca="1">IFERROR(__xludf.DUMMYFUNCTION("if($G245="""",false, if(isna(match(J$2, split($G245:$G383,"", "",False),0)),false,true))"),FALSE)</f>
        <v>0</v>
      </c>
      <c r="K245" s="53" t="b">
        <f ca="1">IFERROR(__xludf.DUMMYFUNCTION("if($G245="""",false, if(isna(match(K$2, split($G245:$G383,"", "",False),0)),false,true))"),FALSE)</f>
        <v>0</v>
      </c>
      <c r="L245" s="53" t="b">
        <f ca="1">IFERROR(__xludf.DUMMYFUNCTION("if($G245="""",false, if(isna(match(L$2, split($G245:$G383,"", "",False),0)),false,true))"),FALSE)</f>
        <v>0</v>
      </c>
      <c r="M245" s="53" t="b">
        <f ca="1">IFERROR(__xludf.DUMMYFUNCTION("if($G245="""",false, if(isna(match(M$2, split($G245:$G383,"", "",False),0)),false,true))"),FALSE)</f>
        <v>0</v>
      </c>
      <c r="N245" s="53" t="b">
        <f ca="1">IFERROR(__xludf.DUMMYFUNCTION("if($G245="""",false, if(isna(match(N$2, split($G245:$G383,"", "",False),0)),false,true))"),FALSE)</f>
        <v>0</v>
      </c>
      <c r="O245" s="53" t="b">
        <f ca="1">IFERROR(__xludf.DUMMYFUNCTION("if($G245="""",false, if(isna(match(O$2, split($G245:$G383,"", "",False),0)),false,true))"),FALSE)</f>
        <v>0</v>
      </c>
      <c r="P245" s="53" t="b">
        <f ca="1">IFERROR(__xludf.DUMMYFUNCTION("if($G245="""",false, if(isna(match(P$2, split($G245:$G383,"", "",False),0)),false,true))"),TRUE)</f>
        <v>1</v>
      </c>
      <c r="Q245" s="53" t="b">
        <f ca="1">IFERROR(__xludf.DUMMYFUNCTION("if($G245="""",false, if(isna(match(Q$2, split($G245:$G383,"", "",False),0)),false,true))"),FALSE)</f>
        <v>0</v>
      </c>
      <c r="R245" s="53" t="b">
        <f ca="1">IFERROR(__xludf.DUMMYFUNCTION("if($G245="""",false, if(isna(match(R$2, split($G245:$G383,"", "",False),0)),false,true))"),FALSE)</f>
        <v>0</v>
      </c>
      <c r="S245" s="53" t="b">
        <f ca="1">IFERROR(__xludf.DUMMYFUNCTION("if($G245="""",false, if(isna(match(S$2, split($G245:$G383,"", "",False),0)),false,true))"),FALSE)</f>
        <v>0</v>
      </c>
      <c r="T245" s="53" t="b">
        <f ca="1">IFERROR(__xludf.DUMMYFUNCTION("if($G245="""",false, if(isna(match(T$2, split($G245:$G383,"", "",False),0)),false,true))"),FALSE)</f>
        <v>0</v>
      </c>
      <c r="U245" s="53" t="b">
        <f ca="1">IFERROR(__xludf.DUMMYFUNCTION("if($G245="""",false, if(isna(match(U$2, split($G245:$G383,"", "",False),0)),false,true))"),FALSE)</f>
        <v>0</v>
      </c>
      <c r="V245" s="53" t="b">
        <f ca="1">IFERROR(__xludf.DUMMYFUNCTION("if($G245="""",false, if(isna(match(V$2, split($G245:$G383,"", "",False),0)),false,true))"),FALSE)</f>
        <v>0</v>
      </c>
      <c r="W245" s="57" t="b">
        <f ca="1">IFERROR(__xludf.DUMMYFUNCTION("if($G245="""",false, if(isna(match(W$2, split($G245:$G383,"", "",False),0)),false,true))"),FALSE)</f>
        <v>0</v>
      </c>
    </row>
    <row r="246" spans="1:23" ht="28">
      <c r="A246" s="47" t="s">
        <v>732</v>
      </c>
      <c r="B246" s="47" t="s">
        <v>65</v>
      </c>
      <c r="C246" s="49" t="s">
        <v>587</v>
      </c>
      <c r="D246" s="52" t="s">
        <v>729</v>
      </c>
      <c r="E246" s="49" t="s">
        <v>730</v>
      </c>
      <c r="F246" s="52" t="s">
        <v>733</v>
      </c>
      <c r="G246" s="59" t="s">
        <v>109</v>
      </c>
      <c r="H246" s="53" t="b">
        <f ca="1">IFERROR(__xludf.DUMMYFUNCTION("if($G246="""",false, if(isna(match(H$2, split($G246:$G383,"", "",False),0)),false,true))"),FALSE)</f>
        <v>0</v>
      </c>
      <c r="I246" s="53" t="b">
        <f ca="1">IFERROR(__xludf.DUMMYFUNCTION("if($G246="""",false, if(isna(match(I$2, split($G246:$G383,"", "",False),0)),false,true))"),TRUE)</f>
        <v>1</v>
      </c>
      <c r="J246" s="53" t="b">
        <f ca="1">IFERROR(__xludf.DUMMYFUNCTION("if($G246="""",false, if(isna(match(J$2, split($G246:$G383,"", "",False),0)),false,true))"),FALSE)</f>
        <v>0</v>
      </c>
      <c r="K246" s="53" t="b">
        <f ca="1">IFERROR(__xludf.DUMMYFUNCTION("if($G246="""",false, if(isna(match(K$2, split($G246:$G383,"", "",False),0)),false,true))"),FALSE)</f>
        <v>0</v>
      </c>
      <c r="L246" s="53" t="b">
        <f ca="1">IFERROR(__xludf.DUMMYFUNCTION("if($G246="""",false, if(isna(match(L$2, split($G246:$G383,"", "",False),0)),false,true))"),FALSE)</f>
        <v>0</v>
      </c>
      <c r="M246" s="53" t="b">
        <f ca="1">IFERROR(__xludf.DUMMYFUNCTION("if($G246="""",false, if(isna(match(M$2, split($G246:$G383,"", "",False),0)),false,true))"),FALSE)</f>
        <v>0</v>
      </c>
      <c r="N246" s="53" t="b">
        <f ca="1">IFERROR(__xludf.DUMMYFUNCTION("if($G246="""",false, if(isna(match(N$2, split($G246:$G383,"", "",False),0)),false,true))"),FALSE)</f>
        <v>0</v>
      </c>
      <c r="O246" s="53" t="b">
        <f ca="1">IFERROR(__xludf.DUMMYFUNCTION("if($G246="""",false, if(isna(match(O$2, split($G246:$G383,"", "",False),0)),false,true))"),FALSE)</f>
        <v>0</v>
      </c>
      <c r="P246" s="53" t="b">
        <f ca="1">IFERROR(__xludf.DUMMYFUNCTION("if($G246="""",false, if(isna(match(P$2, split($G246:$G383,"", "",False),0)),false,true))"),FALSE)</f>
        <v>0</v>
      </c>
      <c r="Q246" s="53" t="b">
        <f ca="1">IFERROR(__xludf.DUMMYFUNCTION("if($G246="""",false, if(isna(match(Q$2, split($G246:$G383,"", "",False),0)),false,true))"),FALSE)</f>
        <v>0</v>
      </c>
      <c r="R246" s="53" t="b">
        <f ca="1">IFERROR(__xludf.DUMMYFUNCTION("if($G246="""",false, if(isna(match(R$2, split($G246:$G383,"", "",False),0)),false,true))"),FALSE)</f>
        <v>0</v>
      </c>
      <c r="S246" s="53" t="b">
        <f ca="1">IFERROR(__xludf.DUMMYFUNCTION("if($G246="""",false, if(isna(match(S$2, split($G246:$G383,"", "",False),0)),false,true))"),FALSE)</f>
        <v>0</v>
      </c>
      <c r="T246" s="53" t="b">
        <f ca="1">IFERROR(__xludf.DUMMYFUNCTION("if($G246="""",false, if(isna(match(T$2, split($G246:$G383,"", "",False),0)),false,true))"),FALSE)</f>
        <v>0</v>
      </c>
      <c r="U246" s="53" t="b">
        <f ca="1">IFERROR(__xludf.DUMMYFUNCTION("if($G246="""",false, if(isna(match(U$2, split($G246:$G383,"", "",False),0)),false,true))"),FALSE)</f>
        <v>0</v>
      </c>
      <c r="V246" s="53" t="b">
        <f ca="1">IFERROR(__xludf.DUMMYFUNCTION("if($G246="""",false, if(isna(match(V$2, split($G246:$G383,"", "",False),0)),false,true))"),FALSE)</f>
        <v>0</v>
      </c>
      <c r="W246" s="57" t="b">
        <f ca="1">IFERROR(__xludf.DUMMYFUNCTION("if($G246="""",false, if(isna(match(W$2, split($G246:$G383,"", "",False),0)),false,true))"),FALSE)</f>
        <v>0</v>
      </c>
    </row>
    <row r="247" spans="1:23" ht="28">
      <c r="A247" s="47" t="s">
        <v>734</v>
      </c>
      <c r="B247" s="47" t="s">
        <v>65</v>
      </c>
      <c r="C247" s="49" t="s">
        <v>587</v>
      </c>
      <c r="D247" s="52" t="s">
        <v>735</v>
      </c>
      <c r="E247" s="49" t="s">
        <v>25</v>
      </c>
      <c r="F247" s="52" t="s">
        <v>736</v>
      </c>
      <c r="G247" s="59" t="s">
        <v>737</v>
      </c>
      <c r="H247" s="53" t="b">
        <f ca="1">IFERROR(__xludf.DUMMYFUNCTION("if($G247="""",false, if(isna(match(H$2, split($G247:$G383,"", "",False),0)),false,true))"),TRUE)</f>
        <v>1</v>
      </c>
      <c r="I247" s="53" t="b">
        <f ca="1">IFERROR(__xludf.DUMMYFUNCTION("if($G247="""",false, if(isna(match(I$2, split($G247:$G383,"", "",False),0)),false,true))"),FALSE)</f>
        <v>0</v>
      </c>
      <c r="J247" s="53" t="b">
        <f ca="1">IFERROR(__xludf.DUMMYFUNCTION("if($G247="""",false, if(isna(match(J$2, split($G247:$G383,"", "",False),0)),false,true))"),FALSE)</f>
        <v>0</v>
      </c>
      <c r="K247" s="53" t="b">
        <f ca="1">IFERROR(__xludf.DUMMYFUNCTION("if($G247="""",false, if(isna(match(K$2, split($G247:$G383,"", "",False),0)),false,true))"),FALSE)</f>
        <v>0</v>
      </c>
      <c r="L247" s="53" t="b">
        <f ca="1">IFERROR(__xludf.DUMMYFUNCTION("if($G247="""",false, if(isna(match(L$2, split($G247:$G383,"", "",False),0)),false,true))"),FALSE)</f>
        <v>0</v>
      </c>
      <c r="M247" s="53" t="b">
        <f ca="1">IFERROR(__xludf.DUMMYFUNCTION("if($G247="""",false, if(isna(match(M$2, split($G247:$G383,"", "",False),0)),false,true))"),FALSE)</f>
        <v>0</v>
      </c>
      <c r="N247" s="53" t="b">
        <f ca="1">IFERROR(__xludf.DUMMYFUNCTION("if($G247="""",false, if(isna(match(N$2, split($G247:$G383,"", "",False),0)),false,true))"),FALSE)</f>
        <v>0</v>
      </c>
      <c r="O247" s="53" t="b">
        <f ca="1">IFERROR(__xludf.DUMMYFUNCTION("if($G247="""",false, if(isna(match(O$2, split($G247:$G383,"", "",False),0)),false,true))"),FALSE)</f>
        <v>0</v>
      </c>
      <c r="P247" s="53" t="b">
        <f ca="1">IFERROR(__xludf.DUMMYFUNCTION("if($G247="""",false, if(isna(match(P$2, split($G247:$G383,"", "",False),0)),false,true))"),TRUE)</f>
        <v>1</v>
      </c>
      <c r="Q247" s="53" t="b">
        <f ca="1">IFERROR(__xludf.DUMMYFUNCTION("if($G247="""",false, if(isna(match(Q$2, split($G247:$G383,"", "",False),0)),false,true))"),TRUE)</f>
        <v>1</v>
      </c>
      <c r="R247" s="53" t="b">
        <f ca="1">IFERROR(__xludf.DUMMYFUNCTION("if($G247="""",false, if(isna(match(R$2, split($G247:$G383,"", "",False),0)),false,true))"),TRUE)</f>
        <v>1</v>
      </c>
      <c r="S247" s="53" t="b">
        <f ca="1">IFERROR(__xludf.DUMMYFUNCTION("if($G247="""",false, if(isna(match(S$2, split($G247:$G383,"", "",False),0)),false,true))"),FALSE)</f>
        <v>0</v>
      </c>
      <c r="T247" s="53" t="b">
        <f ca="1">IFERROR(__xludf.DUMMYFUNCTION("if($G247="""",false, if(isna(match(T$2, split($G247:$G383,"", "",False),0)),false,true))"),FALSE)</f>
        <v>0</v>
      </c>
      <c r="U247" s="53" t="b">
        <f ca="1">IFERROR(__xludf.DUMMYFUNCTION("if($G247="""",false, if(isna(match(U$2, split($G247:$G383,"", "",False),0)),false,true))"),FALSE)</f>
        <v>0</v>
      </c>
      <c r="V247" s="53" t="b">
        <f ca="1">IFERROR(__xludf.DUMMYFUNCTION("if($G247="""",false, if(isna(match(V$2, split($G247:$G383,"", "",False),0)),false,true))"),FALSE)</f>
        <v>0</v>
      </c>
      <c r="W247" s="57" t="b">
        <f ca="1">IFERROR(__xludf.DUMMYFUNCTION("if($G247="""",false, if(isna(match(W$2, split($G247:$G383,"", "",False),0)),false,true))"),FALSE)</f>
        <v>0</v>
      </c>
    </row>
    <row r="248" spans="1:23" ht="168">
      <c r="A248" s="47" t="s">
        <v>738</v>
      </c>
      <c r="B248" s="47" t="s">
        <v>65</v>
      </c>
      <c r="C248" s="49" t="s">
        <v>587</v>
      </c>
      <c r="D248" s="52" t="s">
        <v>735</v>
      </c>
      <c r="E248" s="49" t="s">
        <v>25</v>
      </c>
      <c r="F248" s="52" t="s">
        <v>739</v>
      </c>
      <c r="G248" s="59" t="s">
        <v>111</v>
      </c>
      <c r="H248" s="53" t="b">
        <f ca="1">IFERROR(__xludf.DUMMYFUNCTION("if($G248="""",false, if(isna(match(H$2, split($G248:$G383,"", "",False),0)),false,true))"),FALSE)</f>
        <v>0</v>
      </c>
      <c r="I248" s="53" t="b">
        <f ca="1">IFERROR(__xludf.DUMMYFUNCTION("if($G248="""",false, if(isna(match(I$2, split($G248:$G383,"", "",False),0)),false,true))"),FALSE)</f>
        <v>0</v>
      </c>
      <c r="J248" s="53" t="b">
        <f ca="1">IFERROR(__xludf.DUMMYFUNCTION("if($G248="""",false, if(isna(match(J$2, split($G248:$G383,"", "",False),0)),false,true))"),FALSE)</f>
        <v>0</v>
      </c>
      <c r="K248" s="53" t="b">
        <f ca="1">IFERROR(__xludf.DUMMYFUNCTION("if($G248="""",false, if(isna(match(K$2, split($G248:$G383,"", "",False),0)),false,true))"),TRUE)</f>
        <v>1</v>
      </c>
      <c r="L248" s="53" t="b">
        <f ca="1">IFERROR(__xludf.DUMMYFUNCTION("if($G248="""",false, if(isna(match(L$2, split($G248:$G383,"", "",False),0)),false,true))"),FALSE)</f>
        <v>0</v>
      </c>
      <c r="M248" s="53" t="b">
        <f ca="1">IFERROR(__xludf.DUMMYFUNCTION("if($G248="""",false, if(isna(match(M$2, split($G248:$G383,"", "",False),0)),false,true))"),FALSE)</f>
        <v>0</v>
      </c>
      <c r="N248" s="53" t="b">
        <f ca="1">IFERROR(__xludf.DUMMYFUNCTION("if($G248="""",false, if(isna(match(N$2, split($G248:$G383,"", "",False),0)),false,true))"),FALSE)</f>
        <v>0</v>
      </c>
      <c r="O248" s="53" t="b">
        <f ca="1">IFERROR(__xludf.DUMMYFUNCTION("if($G248="""",false, if(isna(match(O$2, split($G248:$G383,"", "",False),0)),false,true))"),FALSE)</f>
        <v>0</v>
      </c>
      <c r="P248" s="53" t="b">
        <f ca="1">IFERROR(__xludf.DUMMYFUNCTION("if($G248="""",false, if(isna(match(P$2, split($G248:$G383,"", "",False),0)),false,true))"),FALSE)</f>
        <v>0</v>
      </c>
      <c r="Q248" s="53" t="b">
        <f ca="1">IFERROR(__xludf.DUMMYFUNCTION("if($G248="""",false, if(isna(match(Q$2, split($G248:$G383,"", "",False),0)),false,true))"),FALSE)</f>
        <v>0</v>
      </c>
      <c r="R248" s="53" t="b">
        <f ca="1">IFERROR(__xludf.DUMMYFUNCTION("if($G248="""",false, if(isna(match(R$2, split($G248:$G383,"", "",False),0)),false,true))"),FALSE)</f>
        <v>0</v>
      </c>
      <c r="S248" s="53" t="b">
        <f ca="1">IFERROR(__xludf.DUMMYFUNCTION("if($G248="""",false, if(isna(match(S$2, split($G248:$G383,"", "",False),0)),false,true))"),FALSE)</f>
        <v>0</v>
      </c>
      <c r="T248" s="53" t="b">
        <f ca="1">IFERROR(__xludf.DUMMYFUNCTION("if($G248="""",false, if(isna(match(T$2, split($G248:$G383,"", "",False),0)),false,true))"),FALSE)</f>
        <v>0</v>
      </c>
      <c r="U248" s="53" t="b">
        <f ca="1">IFERROR(__xludf.DUMMYFUNCTION("if($G248="""",false, if(isna(match(U$2, split($G248:$G383,"", "",False),0)),false,true))"),FALSE)</f>
        <v>0</v>
      </c>
      <c r="V248" s="53" t="b">
        <f ca="1">IFERROR(__xludf.DUMMYFUNCTION("if($G248="""",false, if(isna(match(V$2, split($G248:$G383,"", "",False),0)),false,true))"),FALSE)</f>
        <v>0</v>
      </c>
      <c r="W248" s="57" t="b">
        <f ca="1">IFERROR(__xludf.DUMMYFUNCTION("if($G248="""",false, if(isna(match(W$2, split($G248:$G383,"", "",False),0)),false,true))"),FALSE)</f>
        <v>0</v>
      </c>
    </row>
    <row r="249" spans="1:23" ht="56">
      <c r="A249" s="47" t="s">
        <v>740</v>
      </c>
      <c r="B249" s="47" t="s">
        <v>65</v>
      </c>
      <c r="C249" s="49" t="s">
        <v>587</v>
      </c>
      <c r="D249" s="52" t="s">
        <v>735</v>
      </c>
      <c r="E249" s="49" t="s">
        <v>741</v>
      </c>
      <c r="F249" s="52" t="s">
        <v>742</v>
      </c>
      <c r="G249" s="59" t="s">
        <v>111</v>
      </c>
      <c r="H249" s="53" t="b">
        <f ca="1">IFERROR(__xludf.DUMMYFUNCTION("if($G249="""",false, if(isna(match(H$2, split($G249:$G383,"", "",False),0)),false,true))"),FALSE)</f>
        <v>0</v>
      </c>
      <c r="I249" s="53" t="b">
        <f ca="1">IFERROR(__xludf.DUMMYFUNCTION("if($G249="""",false, if(isna(match(I$2, split($G249:$G383,"", "",False),0)),false,true))"),FALSE)</f>
        <v>0</v>
      </c>
      <c r="J249" s="53" t="b">
        <f ca="1">IFERROR(__xludf.DUMMYFUNCTION("if($G249="""",false, if(isna(match(J$2, split($G249:$G383,"", "",False),0)),false,true))"),FALSE)</f>
        <v>0</v>
      </c>
      <c r="K249" s="53" t="b">
        <f ca="1">IFERROR(__xludf.DUMMYFUNCTION("if($G249="""",false, if(isna(match(K$2, split($G249:$G383,"", "",False),0)),false,true))"),TRUE)</f>
        <v>1</v>
      </c>
      <c r="L249" s="53" t="b">
        <f ca="1">IFERROR(__xludf.DUMMYFUNCTION("if($G249="""",false, if(isna(match(L$2, split($G249:$G383,"", "",False),0)),false,true))"),FALSE)</f>
        <v>0</v>
      </c>
      <c r="M249" s="53" t="b">
        <f ca="1">IFERROR(__xludf.DUMMYFUNCTION("if($G249="""",false, if(isna(match(M$2, split($G249:$G383,"", "",False),0)),false,true))"),FALSE)</f>
        <v>0</v>
      </c>
      <c r="N249" s="53" t="b">
        <f ca="1">IFERROR(__xludf.DUMMYFUNCTION("if($G249="""",false, if(isna(match(N$2, split($G249:$G383,"", "",False),0)),false,true))"),FALSE)</f>
        <v>0</v>
      </c>
      <c r="O249" s="53" t="b">
        <f ca="1">IFERROR(__xludf.DUMMYFUNCTION("if($G249="""",false, if(isna(match(O$2, split($G249:$G383,"", "",False),0)),false,true))"),FALSE)</f>
        <v>0</v>
      </c>
      <c r="P249" s="53" t="b">
        <f ca="1">IFERROR(__xludf.DUMMYFUNCTION("if($G249="""",false, if(isna(match(P$2, split($G249:$G383,"", "",False),0)),false,true))"),FALSE)</f>
        <v>0</v>
      </c>
      <c r="Q249" s="53" t="b">
        <f ca="1">IFERROR(__xludf.DUMMYFUNCTION("if($G249="""",false, if(isna(match(Q$2, split($G249:$G383,"", "",False),0)),false,true))"),FALSE)</f>
        <v>0</v>
      </c>
      <c r="R249" s="53" t="b">
        <f ca="1">IFERROR(__xludf.DUMMYFUNCTION("if($G249="""",false, if(isna(match(R$2, split($G249:$G383,"", "",False),0)),false,true))"),FALSE)</f>
        <v>0</v>
      </c>
      <c r="S249" s="53" t="b">
        <f ca="1">IFERROR(__xludf.DUMMYFUNCTION("if($G249="""",false, if(isna(match(S$2, split($G249:$G383,"", "",False),0)),false,true))"),FALSE)</f>
        <v>0</v>
      </c>
      <c r="T249" s="53" t="b">
        <f ca="1">IFERROR(__xludf.DUMMYFUNCTION("if($G249="""",false, if(isna(match(T$2, split($G249:$G383,"", "",False),0)),false,true))"),FALSE)</f>
        <v>0</v>
      </c>
      <c r="U249" s="53" t="b">
        <f ca="1">IFERROR(__xludf.DUMMYFUNCTION("if($G249="""",false, if(isna(match(U$2, split($G249:$G383,"", "",False),0)),false,true))"),FALSE)</f>
        <v>0</v>
      </c>
      <c r="V249" s="53" t="b">
        <f ca="1">IFERROR(__xludf.DUMMYFUNCTION("if($G249="""",false, if(isna(match(V$2, split($G249:$G383,"", "",False),0)),false,true))"),FALSE)</f>
        <v>0</v>
      </c>
      <c r="W249" s="57" t="b">
        <f ca="1">IFERROR(__xludf.DUMMYFUNCTION("if($G249="""",false, if(isna(match(W$2, split($G249:$G383,"", "",False),0)),false,true))"),FALSE)</f>
        <v>0</v>
      </c>
    </row>
    <row r="250" spans="1:23" ht="56">
      <c r="A250" s="47" t="s">
        <v>743</v>
      </c>
      <c r="B250" s="47" t="s">
        <v>65</v>
      </c>
      <c r="C250" s="49" t="s">
        <v>587</v>
      </c>
      <c r="D250" s="52" t="s">
        <v>735</v>
      </c>
      <c r="E250" s="49" t="s">
        <v>744</v>
      </c>
      <c r="F250" s="52" t="s">
        <v>745</v>
      </c>
      <c r="G250" s="59" t="s">
        <v>111</v>
      </c>
      <c r="H250" s="53" t="b">
        <f ca="1">IFERROR(__xludf.DUMMYFUNCTION("if($G250="""",false, if(isna(match(H$2, split($G250:$G383,"", "",False),0)),false,true))"),FALSE)</f>
        <v>0</v>
      </c>
      <c r="I250" s="53" t="b">
        <f ca="1">IFERROR(__xludf.DUMMYFUNCTION("if($G250="""",false, if(isna(match(I$2, split($G250:$G383,"", "",False),0)),false,true))"),FALSE)</f>
        <v>0</v>
      </c>
      <c r="J250" s="53" t="b">
        <f ca="1">IFERROR(__xludf.DUMMYFUNCTION("if($G250="""",false, if(isna(match(J$2, split($G250:$G383,"", "",False),0)),false,true))"),FALSE)</f>
        <v>0</v>
      </c>
      <c r="K250" s="53" t="b">
        <f ca="1">IFERROR(__xludf.DUMMYFUNCTION("if($G250="""",false, if(isna(match(K$2, split($G250:$G383,"", "",False),0)),false,true))"),TRUE)</f>
        <v>1</v>
      </c>
      <c r="L250" s="53" t="b">
        <f ca="1">IFERROR(__xludf.DUMMYFUNCTION("if($G250="""",false, if(isna(match(L$2, split($G250:$G383,"", "",False),0)),false,true))"),FALSE)</f>
        <v>0</v>
      </c>
      <c r="M250" s="53" t="b">
        <f ca="1">IFERROR(__xludf.DUMMYFUNCTION("if($G250="""",false, if(isna(match(M$2, split($G250:$G383,"", "",False),0)),false,true))"),FALSE)</f>
        <v>0</v>
      </c>
      <c r="N250" s="53" t="b">
        <f ca="1">IFERROR(__xludf.DUMMYFUNCTION("if($G250="""",false, if(isna(match(N$2, split($G250:$G383,"", "",False),0)),false,true))"),FALSE)</f>
        <v>0</v>
      </c>
      <c r="O250" s="53" t="b">
        <f ca="1">IFERROR(__xludf.DUMMYFUNCTION("if($G250="""",false, if(isna(match(O$2, split($G250:$G383,"", "",False),0)),false,true))"),FALSE)</f>
        <v>0</v>
      </c>
      <c r="P250" s="53" t="b">
        <f ca="1">IFERROR(__xludf.DUMMYFUNCTION("if($G250="""",false, if(isna(match(P$2, split($G250:$G383,"", "",False),0)),false,true))"),FALSE)</f>
        <v>0</v>
      </c>
      <c r="Q250" s="53" t="b">
        <f ca="1">IFERROR(__xludf.DUMMYFUNCTION("if($G250="""",false, if(isna(match(Q$2, split($G250:$G383,"", "",False),0)),false,true))"),FALSE)</f>
        <v>0</v>
      </c>
      <c r="R250" s="53" t="b">
        <f ca="1">IFERROR(__xludf.DUMMYFUNCTION("if($G250="""",false, if(isna(match(R$2, split($G250:$G383,"", "",False),0)),false,true))"),FALSE)</f>
        <v>0</v>
      </c>
      <c r="S250" s="53" t="b">
        <f ca="1">IFERROR(__xludf.DUMMYFUNCTION("if($G250="""",false, if(isna(match(S$2, split($G250:$G383,"", "",False),0)),false,true))"),FALSE)</f>
        <v>0</v>
      </c>
      <c r="T250" s="53" t="b">
        <f ca="1">IFERROR(__xludf.DUMMYFUNCTION("if($G250="""",false, if(isna(match(T$2, split($G250:$G383,"", "",False),0)),false,true))"),FALSE)</f>
        <v>0</v>
      </c>
      <c r="U250" s="53" t="b">
        <f ca="1">IFERROR(__xludf.DUMMYFUNCTION("if($G250="""",false, if(isna(match(U$2, split($G250:$G383,"", "",False),0)),false,true))"),FALSE)</f>
        <v>0</v>
      </c>
      <c r="V250" s="53" t="b">
        <f ca="1">IFERROR(__xludf.DUMMYFUNCTION("if($G250="""",false, if(isna(match(V$2, split($G250:$G383,"", "",False),0)),false,true))"),FALSE)</f>
        <v>0</v>
      </c>
      <c r="W250" s="57" t="b">
        <f ca="1">IFERROR(__xludf.DUMMYFUNCTION("if($G250="""",false, if(isna(match(W$2, split($G250:$G383,"", "",False),0)),false,true))"),FALSE)</f>
        <v>0</v>
      </c>
    </row>
    <row r="251" spans="1:23" ht="28">
      <c r="A251" s="47" t="s">
        <v>746</v>
      </c>
      <c r="B251" s="47" t="s">
        <v>65</v>
      </c>
      <c r="C251" s="49" t="s">
        <v>587</v>
      </c>
      <c r="D251" s="52" t="s">
        <v>735</v>
      </c>
      <c r="E251" s="49" t="s">
        <v>747</v>
      </c>
      <c r="F251" s="52" t="s">
        <v>748</v>
      </c>
      <c r="G251" s="59" t="s">
        <v>189</v>
      </c>
      <c r="H251" s="53" t="b">
        <f ca="1">IFERROR(__xludf.DUMMYFUNCTION("if($G251="""",false, if(isna(match(H$2, split($G251:$G383,"", "",False),0)),false,true))"),FALSE)</f>
        <v>0</v>
      </c>
      <c r="I251" s="53" t="b">
        <f ca="1">IFERROR(__xludf.DUMMYFUNCTION("if($G251="""",false, if(isna(match(I$2, split($G251:$G383,"", "",False),0)),false,true))"),FALSE)</f>
        <v>0</v>
      </c>
      <c r="J251" s="53" t="b">
        <f ca="1">IFERROR(__xludf.DUMMYFUNCTION("if($G251="""",false, if(isna(match(J$2, split($G251:$G383,"", "",False),0)),false,true))"),FALSE)</f>
        <v>0</v>
      </c>
      <c r="K251" s="53" t="b">
        <f ca="1">IFERROR(__xludf.DUMMYFUNCTION("if($G251="""",false, if(isna(match(K$2, split($G251:$G383,"", "",False),0)),false,true))"),FALSE)</f>
        <v>0</v>
      </c>
      <c r="L251" s="53" t="b">
        <f ca="1">IFERROR(__xludf.DUMMYFUNCTION("if($G251="""",false, if(isna(match(L$2, split($G251:$G383,"", "",False),0)),false,true))"),FALSE)</f>
        <v>0</v>
      </c>
      <c r="M251" s="53" t="b">
        <f ca="1">IFERROR(__xludf.DUMMYFUNCTION("if($G251="""",false, if(isna(match(M$2, split($G251:$G383,"", "",False),0)),false,true))"),FALSE)</f>
        <v>0</v>
      </c>
      <c r="N251" s="53" t="b">
        <f ca="1">IFERROR(__xludf.DUMMYFUNCTION("if($G251="""",false, if(isna(match(N$2, split($G251:$G383,"", "",False),0)),false,true))"),FALSE)</f>
        <v>0</v>
      </c>
      <c r="O251" s="53" t="b">
        <f ca="1">IFERROR(__xludf.DUMMYFUNCTION("if($G251="""",false, if(isna(match(O$2, split($G251:$G383,"", "",False),0)),false,true))"),FALSE)</f>
        <v>0</v>
      </c>
      <c r="P251" s="53" t="b">
        <f ca="1">IFERROR(__xludf.DUMMYFUNCTION("if($G251="""",false, if(isna(match(P$2, split($G251:$G383,"", "",False),0)),false,true))"),TRUE)</f>
        <v>1</v>
      </c>
      <c r="Q251" s="53" t="b">
        <f ca="1">IFERROR(__xludf.DUMMYFUNCTION("if($G251="""",false, if(isna(match(Q$2, split($G251:$G383,"", "",False),0)),false,true))"),FALSE)</f>
        <v>0</v>
      </c>
      <c r="R251" s="53" t="b">
        <f ca="1">IFERROR(__xludf.DUMMYFUNCTION("if($G251="""",false, if(isna(match(R$2, split($G251:$G383,"", "",False),0)),false,true))"),TRUE)</f>
        <v>1</v>
      </c>
      <c r="S251" s="53" t="b">
        <f ca="1">IFERROR(__xludf.DUMMYFUNCTION("if($G251="""",false, if(isna(match(S$2, split($G251:$G383,"", "",False),0)),false,true))"),FALSE)</f>
        <v>0</v>
      </c>
      <c r="T251" s="53" t="b">
        <f ca="1">IFERROR(__xludf.DUMMYFUNCTION("if($G251="""",false, if(isna(match(T$2, split($G251:$G383,"", "",False),0)),false,true))"),FALSE)</f>
        <v>0</v>
      </c>
      <c r="U251" s="53" t="b">
        <f ca="1">IFERROR(__xludf.DUMMYFUNCTION("if($G251="""",false, if(isna(match(U$2, split($G251:$G383,"", "",False),0)),false,true))"),FALSE)</f>
        <v>0</v>
      </c>
      <c r="V251" s="53" t="b">
        <f ca="1">IFERROR(__xludf.DUMMYFUNCTION("if($G251="""",false, if(isna(match(V$2, split($G251:$G383,"", "",False),0)),false,true))"),FALSE)</f>
        <v>0</v>
      </c>
      <c r="W251" s="57" t="b">
        <f ca="1">IFERROR(__xludf.DUMMYFUNCTION("if($G251="""",false, if(isna(match(W$2, split($G251:$G383,"", "",False),0)),false,true))"),FALSE)</f>
        <v>0</v>
      </c>
    </row>
    <row r="252" spans="1:23" ht="28">
      <c r="A252" s="47" t="s">
        <v>749</v>
      </c>
      <c r="B252" s="47" t="s">
        <v>65</v>
      </c>
      <c r="C252" s="49" t="s">
        <v>587</v>
      </c>
      <c r="D252" s="52" t="s">
        <v>735</v>
      </c>
      <c r="E252" s="49" t="s">
        <v>747</v>
      </c>
      <c r="F252" s="52" t="s">
        <v>750</v>
      </c>
      <c r="G252" s="59" t="s">
        <v>189</v>
      </c>
      <c r="H252" s="53" t="b">
        <f ca="1">IFERROR(__xludf.DUMMYFUNCTION("if($G252="""",false, if(isna(match(H$2, split($G252:$G383,"", "",False),0)),false,true))"),FALSE)</f>
        <v>0</v>
      </c>
      <c r="I252" s="53" t="b">
        <f ca="1">IFERROR(__xludf.DUMMYFUNCTION("if($G252="""",false, if(isna(match(I$2, split($G252:$G383,"", "",False),0)),false,true))"),FALSE)</f>
        <v>0</v>
      </c>
      <c r="J252" s="53" t="b">
        <f ca="1">IFERROR(__xludf.DUMMYFUNCTION("if($G252="""",false, if(isna(match(J$2, split($G252:$G383,"", "",False),0)),false,true))"),FALSE)</f>
        <v>0</v>
      </c>
      <c r="K252" s="53" t="b">
        <f ca="1">IFERROR(__xludf.DUMMYFUNCTION("if($G252="""",false, if(isna(match(K$2, split($G252:$G383,"", "",False),0)),false,true))"),FALSE)</f>
        <v>0</v>
      </c>
      <c r="L252" s="53" t="b">
        <f ca="1">IFERROR(__xludf.DUMMYFUNCTION("if($G252="""",false, if(isna(match(L$2, split($G252:$G383,"", "",False),0)),false,true))"),FALSE)</f>
        <v>0</v>
      </c>
      <c r="M252" s="53" t="b">
        <f ca="1">IFERROR(__xludf.DUMMYFUNCTION("if($G252="""",false, if(isna(match(M$2, split($G252:$G383,"", "",False),0)),false,true))"),FALSE)</f>
        <v>0</v>
      </c>
      <c r="N252" s="53" t="b">
        <f ca="1">IFERROR(__xludf.DUMMYFUNCTION("if($G252="""",false, if(isna(match(N$2, split($G252:$G383,"", "",False),0)),false,true))"),FALSE)</f>
        <v>0</v>
      </c>
      <c r="O252" s="53" t="b">
        <f ca="1">IFERROR(__xludf.DUMMYFUNCTION("if($G252="""",false, if(isna(match(O$2, split($G252:$G383,"", "",False),0)),false,true))"),FALSE)</f>
        <v>0</v>
      </c>
      <c r="P252" s="53" t="b">
        <f ca="1">IFERROR(__xludf.DUMMYFUNCTION("if($G252="""",false, if(isna(match(P$2, split($G252:$G383,"", "",False),0)),false,true))"),TRUE)</f>
        <v>1</v>
      </c>
      <c r="Q252" s="53" t="b">
        <f ca="1">IFERROR(__xludf.DUMMYFUNCTION("if($G252="""",false, if(isna(match(Q$2, split($G252:$G383,"", "",False),0)),false,true))"),FALSE)</f>
        <v>0</v>
      </c>
      <c r="R252" s="53" t="b">
        <f ca="1">IFERROR(__xludf.DUMMYFUNCTION("if($G252="""",false, if(isna(match(R$2, split($G252:$G383,"", "",False),0)),false,true))"),TRUE)</f>
        <v>1</v>
      </c>
      <c r="S252" s="53" t="b">
        <f ca="1">IFERROR(__xludf.DUMMYFUNCTION("if($G252="""",false, if(isna(match(S$2, split($G252:$G383,"", "",False),0)),false,true))"),FALSE)</f>
        <v>0</v>
      </c>
      <c r="T252" s="53" t="b">
        <f ca="1">IFERROR(__xludf.DUMMYFUNCTION("if($G252="""",false, if(isna(match(T$2, split($G252:$G383,"", "",False),0)),false,true))"),FALSE)</f>
        <v>0</v>
      </c>
      <c r="U252" s="53" t="b">
        <f ca="1">IFERROR(__xludf.DUMMYFUNCTION("if($G252="""",false, if(isna(match(U$2, split($G252:$G383,"", "",False),0)),false,true))"),FALSE)</f>
        <v>0</v>
      </c>
      <c r="V252" s="53" t="b">
        <f ca="1">IFERROR(__xludf.DUMMYFUNCTION("if($G252="""",false, if(isna(match(V$2, split($G252:$G383,"", "",False),0)),false,true))"),FALSE)</f>
        <v>0</v>
      </c>
      <c r="W252" s="57" t="b">
        <f ca="1">IFERROR(__xludf.DUMMYFUNCTION("if($G252="""",false, if(isna(match(W$2, split($G252:$G383,"", "",False),0)),false,true))"),FALSE)</f>
        <v>0</v>
      </c>
    </row>
    <row r="253" spans="1:23" ht="293">
      <c r="A253" s="47" t="s">
        <v>751</v>
      </c>
      <c r="B253" s="47" t="s">
        <v>65</v>
      </c>
      <c r="C253" s="49" t="s">
        <v>587</v>
      </c>
      <c r="D253" s="52" t="s">
        <v>752</v>
      </c>
      <c r="E253" s="49" t="s">
        <v>753</v>
      </c>
      <c r="F253" s="52" t="s">
        <v>754</v>
      </c>
      <c r="G253" s="59" t="s">
        <v>116</v>
      </c>
      <c r="H253" s="53" t="b">
        <f ca="1">IFERROR(__xludf.DUMMYFUNCTION("if($G253="""",false, if(isna(match(H$2, split($G253:$G383,"", "",False),0)),false,true))"),FALSE)</f>
        <v>0</v>
      </c>
      <c r="I253" s="53" t="b">
        <f ca="1">IFERROR(__xludf.DUMMYFUNCTION("if($G253="""",false, if(isna(match(I$2, split($G253:$G383,"", "",False),0)),false,true))"),FALSE)</f>
        <v>0</v>
      </c>
      <c r="J253" s="53" t="b">
        <f ca="1">IFERROR(__xludf.DUMMYFUNCTION("if($G253="""",false, if(isna(match(J$2, split($G253:$G383,"", "",False),0)),false,true))"),FALSE)</f>
        <v>0</v>
      </c>
      <c r="K253" s="53" t="b">
        <f ca="1">IFERROR(__xludf.DUMMYFUNCTION("if($G253="""",false, if(isna(match(K$2, split($G253:$G383,"", "",False),0)),false,true))"),FALSE)</f>
        <v>0</v>
      </c>
      <c r="L253" s="53" t="b">
        <f ca="1">IFERROR(__xludf.DUMMYFUNCTION("if($G253="""",false, if(isna(match(L$2, split($G253:$G383,"", "",False),0)),false,true))"),FALSE)</f>
        <v>0</v>
      </c>
      <c r="M253" s="53" t="b">
        <f ca="1">IFERROR(__xludf.DUMMYFUNCTION("if($G253="""",false, if(isna(match(M$2, split($G253:$G383,"", "",False),0)),false,true))"),FALSE)</f>
        <v>0</v>
      </c>
      <c r="N253" s="53" t="b">
        <f ca="1">IFERROR(__xludf.DUMMYFUNCTION("if($G253="""",false, if(isna(match(N$2, split($G253:$G383,"", "",False),0)),false,true))"),FALSE)</f>
        <v>0</v>
      </c>
      <c r="O253" s="53" t="b">
        <f ca="1">IFERROR(__xludf.DUMMYFUNCTION("if($G253="""",false, if(isna(match(O$2, split($G253:$G383,"", "",False),0)),false,true))"),FALSE)</f>
        <v>0</v>
      </c>
      <c r="P253" s="53" t="b">
        <f ca="1">IFERROR(__xludf.DUMMYFUNCTION("if($G253="""",false, if(isna(match(P$2, split($G253:$G383,"", "",False),0)),false,true))"),TRUE)</f>
        <v>1</v>
      </c>
      <c r="Q253" s="53" t="b">
        <f ca="1">IFERROR(__xludf.DUMMYFUNCTION("if($G253="""",false, if(isna(match(Q$2, split($G253:$G383,"", "",False),0)),false,true))"),FALSE)</f>
        <v>0</v>
      </c>
      <c r="R253" s="53" t="b">
        <f ca="1">IFERROR(__xludf.DUMMYFUNCTION("if($G253="""",false, if(isna(match(R$2, split($G253:$G383,"", "",False),0)),false,true))"),FALSE)</f>
        <v>0</v>
      </c>
      <c r="S253" s="53" t="b">
        <f ca="1">IFERROR(__xludf.DUMMYFUNCTION("if($G253="""",false, if(isna(match(S$2, split($G253:$G383,"", "",False),0)),false,true))"),FALSE)</f>
        <v>0</v>
      </c>
      <c r="T253" s="53" t="b">
        <f ca="1">IFERROR(__xludf.DUMMYFUNCTION("if($G253="""",false, if(isna(match(T$2, split($G253:$G383,"", "",False),0)),false,true))"),FALSE)</f>
        <v>0</v>
      </c>
      <c r="U253" s="53" t="b">
        <f ca="1">IFERROR(__xludf.DUMMYFUNCTION("if($G253="""",false, if(isna(match(U$2, split($G253:$G383,"", "",False),0)),false,true))"),FALSE)</f>
        <v>0</v>
      </c>
      <c r="V253" s="53" t="b">
        <f ca="1">IFERROR(__xludf.DUMMYFUNCTION("if($G253="""",false, if(isna(match(V$2, split($G253:$G383,"", "",False),0)),false,true))"),FALSE)</f>
        <v>0</v>
      </c>
      <c r="W253" s="57" t="b">
        <f ca="1">IFERROR(__xludf.DUMMYFUNCTION("if($G253="""",false, if(isna(match(W$2, split($G253:$G383,"", "",False),0)),false,true))"),FALSE)</f>
        <v>0</v>
      </c>
    </row>
    <row r="254" spans="1:23" ht="42">
      <c r="A254" s="47" t="s">
        <v>755</v>
      </c>
      <c r="B254" s="47" t="s">
        <v>65</v>
      </c>
      <c r="C254" s="49" t="s">
        <v>627</v>
      </c>
      <c r="D254" s="52" t="s">
        <v>756</v>
      </c>
      <c r="E254" s="49" t="s">
        <v>757</v>
      </c>
      <c r="F254" s="52" t="s">
        <v>758</v>
      </c>
      <c r="G254" s="59" t="s">
        <v>108</v>
      </c>
      <c r="H254" s="53" t="b">
        <f ca="1">IFERROR(__xludf.DUMMYFUNCTION("if($G254="""",false, if(isna(match(H$2, split($G254:$G383,"", "",False),0)),false,true))"),TRUE)</f>
        <v>1</v>
      </c>
      <c r="I254" s="53" t="b">
        <f ca="1">IFERROR(__xludf.DUMMYFUNCTION("if($G254="""",false, if(isna(match(I$2, split($G254:$G383,"", "",False),0)),false,true))"),FALSE)</f>
        <v>0</v>
      </c>
      <c r="J254" s="53" t="b">
        <f ca="1">IFERROR(__xludf.DUMMYFUNCTION("if($G254="""",false, if(isna(match(J$2, split($G254:$G383,"", "",False),0)),false,true))"),FALSE)</f>
        <v>0</v>
      </c>
      <c r="K254" s="53" t="b">
        <f ca="1">IFERROR(__xludf.DUMMYFUNCTION("if($G254="""",false, if(isna(match(K$2, split($G254:$G383,"", "",False),0)),false,true))"),FALSE)</f>
        <v>0</v>
      </c>
      <c r="L254" s="53" t="b">
        <f ca="1">IFERROR(__xludf.DUMMYFUNCTION("if($G254="""",false, if(isna(match(L$2, split($G254:$G383,"", "",False),0)),false,true))"),FALSE)</f>
        <v>0</v>
      </c>
      <c r="M254" s="53" t="b">
        <f ca="1">IFERROR(__xludf.DUMMYFUNCTION("if($G254="""",false, if(isna(match(M$2, split($G254:$G383,"", "",False),0)),false,true))"),FALSE)</f>
        <v>0</v>
      </c>
      <c r="N254" s="53" t="b">
        <f ca="1">IFERROR(__xludf.DUMMYFUNCTION("if($G254="""",false, if(isna(match(N$2, split($G254:$G383,"", "",False),0)),false,true))"),FALSE)</f>
        <v>0</v>
      </c>
      <c r="O254" s="53" t="b">
        <f ca="1">IFERROR(__xludf.DUMMYFUNCTION("if($G254="""",false, if(isna(match(O$2, split($G254:$G383,"", "",False),0)),false,true))"),FALSE)</f>
        <v>0</v>
      </c>
      <c r="P254" s="53" t="b">
        <f ca="1">IFERROR(__xludf.DUMMYFUNCTION("if($G254="""",false, if(isna(match(P$2, split($G254:$G383,"", "",False),0)),false,true))"),FALSE)</f>
        <v>0</v>
      </c>
      <c r="Q254" s="53" t="b">
        <f ca="1">IFERROR(__xludf.DUMMYFUNCTION("if($G254="""",false, if(isna(match(Q$2, split($G254:$G383,"", "",False),0)),false,true))"),FALSE)</f>
        <v>0</v>
      </c>
      <c r="R254" s="53" t="b">
        <f ca="1">IFERROR(__xludf.DUMMYFUNCTION("if($G254="""",false, if(isna(match(R$2, split($G254:$G383,"", "",False),0)),false,true))"),FALSE)</f>
        <v>0</v>
      </c>
      <c r="S254" s="53" t="b">
        <f ca="1">IFERROR(__xludf.DUMMYFUNCTION("if($G254="""",false, if(isna(match(S$2, split($G254:$G383,"", "",False),0)),false,true))"),FALSE)</f>
        <v>0</v>
      </c>
      <c r="T254" s="53" t="b">
        <f ca="1">IFERROR(__xludf.DUMMYFUNCTION("if($G254="""",false, if(isna(match(T$2, split($G254:$G383,"", "",False),0)),false,true))"),FALSE)</f>
        <v>0</v>
      </c>
      <c r="U254" s="53" t="b">
        <f ca="1">IFERROR(__xludf.DUMMYFUNCTION("if($G254="""",false, if(isna(match(U$2, split($G254:$G383,"", "",False),0)),false,true))"),FALSE)</f>
        <v>0</v>
      </c>
      <c r="V254" s="53" t="b">
        <f ca="1">IFERROR(__xludf.DUMMYFUNCTION("if($G254="""",false, if(isna(match(V$2, split($G254:$G383,"", "",False),0)),false,true))"),FALSE)</f>
        <v>0</v>
      </c>
      <c r="W254" s="57" t="b">
        <f ca="1">IFERROR(__xludf.DUMMYFUNCTION("if($G254="""",false, if(isna(match(W$2, split($G254:$G383,"", "",False),0)),false,true))"),FALSE)</f>
        <v>0</v>
      </c>
    </row>
    <row r="255" spans="1:23" ht="42">
      <c r="A255" s="47" t="s">
        <v>759</v>
      </c>
      <c r="B255" s="47" t="s">
        <v>65</v>
      </c>
      <c r="C255" s="49" t="s">
        <v>627</v>
      </c>
      <c r="D255" s="52" t="s">
        <v>756</v>
      </c>
      <c r="E255" s="49" t="s">
        <v>757</v>
      </c>
      <c r="F255" s="52" t="s">
        <v>760</v>
      </c>
      <c r="G255" s="59" t="s">
        <v>108</v>
      </c>
      <c r="H255" s="53" t="b">
        <f ca="1">IFERROR(__xludf.DUMMYFUNCTION("if($G255="""",false, if(isna(match(H$2, split($G255:$G383,"", "",False),0)),false,true))"),TRUE)</f>
        <v>1</v>
      </c>
      <c r="I255" s="53" t="b">
        <f ca="1">IFERROR(__xludf.DUMMYFUNCTION("if($G255="""",false, if(isna(match(I$2, split($G255:$G383,"", "",False),0)),false,true))"),FALSE)</f>
        <v>0</v>
      </c>
      <c r="J255" s="53" t="b">
        <f ca="1">IFERROR(__xludf.DUMMYFUNCTION("if($G255="""",false, if(isna(match(J$2, split($G255:$G383,"", "",False),0)),false,true))"),FALSE)</f>
        <v>0</v>
      </c>
      <c r="K255" s="53" t="b">
        <f ca="1">IFERROR(__xludf.DUMMYFUNCTION("if($G255="""",false, if(isna(match(K$2, split($G255:$G383,"", "",False),0)),false,true))"),FALSE)</f>
        <v>0</v>
      </c>
      <c r="L255" s="53" t="b">
        <f ca="1">IFERROR(__xludf.DUMMYFUNCTION("if($G255="""",false, if(isna(match(L$2, split($G255:$G383,"", "",False),0)),false,true))"),FALSE)</f>
        <v>0</v>
      </c>
      <c r="M255" s="53" t="b">
        <f ca="1">IFERROR(__xludf.DUMMYFUNCTION("if($G255="""",false, if(isna(match(M$2, split($G255:$G383,"", "",False),0)),false,true))"),FALSE)</f>
        <v>0</v>
      </c>
      <c r="N255" s="53" t="b">
        <f ca="1">IFERROR(__xludf.DUMMYFUNCTION("if($G255="""",false, if(isna(match(N$2, split($G255:$G383,"", "",False),0)),false,true))"),FALSE)</f>
        <v>0</v>
      </c>
      <c r="O255" s="53" t="b">
        <f ca="1">IFERROR(__xludf.DUMMYFUNCTION("if($G255="""",false, if(isna(match(O$2, split($G255:$G383,"", "",False),0)),false,true))"),FALSE)</f>
        <v>0</v>
      </c>
      <c r="P255" s="53" t="b">
        <f ca="1">IFERROR(__xludf.DUMMYFUNCTION("if($G255="""",false, if(isna(match(P$2, split($G255:$G383,"", "",False),0)),false,true))"),FALSE)</f>
        <v>0</v>
      </c>
      <c r="Q255" s="53" t="b">
        <f ca="1">IFERROR(__xludf.DUMMYFUNCTION("if($G255="""",false, if(isna(match(Q$2, split($G255:$G383,"", "",False),0)),false,true))"),FALSE)</f>
        <v>0</v>
      </c>
      <c r="R255" s="53" t="b">
        <f ca="1">IFERROR(__xludf.DUMMYFUNCTION("if($G255="""",false, if(isna(match(R$2, split($G255:$G383,"", "",False),0)),false,true))"),FALSE)</f>
        <v>0</v>
      </c>
      <c r="S255" s="53" t="b">
        <f ca="1">IFERROR(__xludf.DUMMYFUNCTION("if($G255="""",false, if(isna(match(S$2, split($G255:$G383,"", "",False),0)),false,true))"),FALSE)</f>
        <v>0</v>
      </c>
      <c r="T255" s="53" t="b">
        <f ca="1">IFERROR(__xludf.DUMMYFUNCTION("if($G255="""",false, if(isna(match(T$2, split($G255:$G383,"", "",False),0)),false,true))"),FALSE)</f>
        <v>0</v>
      </c>
      <c r="U255" s="53" t="b">
        <f ca="1">IFERROR(__xludf.DUMMYFUNCTION("if($G255="""",false, if(isna(match(U$2, split($G255:$G383,"", "",False),0)),false,true))"),FALSE)</f>
        <v>0</v>
      </c>
      <c r="V255" s="53" t="b">
        <f ca="1">IFERROR(__xludf.DUMMYFUNCTION("if($G255="""",false, if(isna(match(V$2, split($G255:$G383,"", "",False),0)),false,true))"),FALSE)</f>
        <v>0</v>
      </c>
      <c r="W255" s="57" t="b">
        <f ca="1">IFERROR(__xludf.DUMMYFUNCTION("if($G255="""",false, if(isna(match(W$2, split($G255:$G383,"", "",False),0)),false,true))"),FALSE)</f>
        <v>0</v>
      </c>
    </row>
    <row r="256" spans="1:23" ht="42">
      <c r="A256" s="47" t="s">
        <v>761</v>
      </c>
      <c r="B256" s="47" t="s">
        <v>65</v>
      </c>
      <c r="C256" s="49" t="s">
        <v>627</v>
      </c>
      <c r="D256" s="52" t="s">
        <v>756</v>
      </c>
      <c r="E256" s="49" t="s">
        <v>757</v>
      </c>
      <c r="F256" s="52" t="s">
        <v>762</v>
      </c>
      <c r="G256" s="59" t="s">
        <v>119</v>
      </c>
      <c r="H256" s="53" t="b">
        <f ca="1">IFERROR(__xludf.DUMMYFUNCTION("if($G256="""",false, if(isna(match(H$2, split($G256:$G383,"", "",False),0)),false,true))"),FALSE)</f>
        <v>0</v>
      </c>
      <c r="I256" s="53" t="b">
        <f ca="1">IFERROR(__xludf.DUMMYFUNCTION("if($G256="""",false, if(isna(match(I$2, split($G256:$G383,"", "",False),0)),false,true))"),FALSE)</f>
        <v>0</v>
      </c>
      <c r="J256" s="53" t="b">
        <f ca="1">IFERROR(__xludf.DUMMYFUNCTION("if($G256="""",false, if(isna(match(J$2, split($G256:$G383,"", "",False),0)),false,true))"),FALSE)</f>
        <v>0</v>
      </c>
      <c r="K256" s="53" t="b">
        <f ca="1">IFERROR(__xludf.DUMMYFUNCTION("if($G256="""",false, if(isna(match(K$2, split($G256:$G383,"", "",False),0)),false,true))"),FALSE)</f>
        <v>0</v>
      </c>
      <c r="L256" s="53" t="b">
        <f ca="1">IFERROR(__xludf.DUMMYFUNCTION("if($G256="""",false, if(isna(match(L$2, split($G256:$G383,"", "",False),0)),false,true))"),FALSE)</f>
        <v>0</v>
      </c>
      <c r="M256" s="53" t="b">
        <f ca="1">IFERROR(__xludf.DUMMYFUNCTION("if($G256="""",false, if(isna(match(M$2, split($G256:$G383,"", "",False),0)),false,true))"),FALSE)</f>
        <v>0</v>
      </c>
      <c r="N256" s="53" t="b">
        <f ca="1">IFERROR(__xludf.DUMMYFUNCTION("if($G256="""",false, if(isna(match(N$2, split($G256:$G383,"", "",False),0)),false,true))"),FALSE)</f>
        <v>0</v>
      </c>
      <c r="O256" s="53" t="b">
        <f ca="1">IFERROR(__xludf.DUMMYFUNCTION("if($G256="""",false, if(isna(match(O$2, split($G256:$G383,"", "",False),0)),false,true))"),FALSE)</f>
        <v>0</v>
      </c>
      <c r="P256" s="53" t="b">
        <f ca="1">IFERROR(__xludf.DUMMYFUNCTION("if($G256="""",false, if(isna(match(P$2, split($G256:$G383,"", "",False),0)),false,true))"),FALSE)</f>
        <v>0</v>
      </c>
      <c r="Q256" s="53" t="b">
        <f ca="1">IFERROR(__xludf.DUMMYFUNCTION("if($G256="""",false, if(isna(match(Q$2, split($G256:$G383,"", "",False),0)),false,true))"),FALSE)</f>
        <v>0</v>
      </c>
      <c r="R256" s="53" t="b">
        <f ca="1">IFERROR(__xludf.DUMMYFUNCTION("if($G256="""",false, if(isna(match(R$2, split($G256:$G383,"", "",False),0)),false,true))"),FALSE)</f>
        <v>0</v>
      </c>
      <c r="S256" s="53" t="b">
        <f ca="1">IFERROR(__xludf.DUMMYFUNCTION("if($G256="""",false, if(isna(match(S$2, split($G256:$G383,"", "",False),0)),false,true))"),TRUE)</f>
        <v>1</v>
      </c>
      <c r="T256" s="53" t="b">
        <f ca="1">IFERROR(__xludf.DUMMYFUNCTION("if($G256="""",false, if(isna(match(T$2, split($G256:$G383,"", "",False),0)),false,true))"),FALSE)</f>
        <v>0</v>
      </c>
      <c r="U256" s="53" t="b">
        <f ca="1">IFERROR(__xludf.DUMMYFUNCTION("if($G256="""",false, if(isna(match(U$2, split($G256:$G383,"", "",False),0)),false,true))"),FALSE)</f>
        <v>0</v>
      </c>
      <c r="V256" s="53" t="b">
        <f ca="1">IFERROR(__xludf.DUMMYFUNCTION("if($G256="""",false, if(isna(match(V$2, split($G256:$G383,"", "",False),0)),false,true))"),FALSE)</f>
        <v>0</v>
      </c>
      <c r="W256" s="57" t="b">
        <f ca="1">IFERROR(__xludf.DUMMYFUNCTION("if($G256="""",false, if(isna(match(W$2, split($G256:$G383,"", "",False),0)),false,true))"),FALSE)</f>
        <v>0</v>
      </c>
    </row>
    <row r="257" spans="1:23" ht="28">
      <c r="A257" s="47" t="s">
        <v>763</v>
      </c>
      <c r="B257" s="47" t="s">
        <v>65</v>
      </c>
      <c r="C257" s="49" t="s">
        <v>627</v>
      </c>
      <c r="D257" s="52" t="s">
        <v>756</v>
      </c>
      <c r="E257" s="49" t="s">
        <v>757</v>
      </c>
      <c r="F257" s="52" t="s">
        <v>764</v>
      </c>
      <c r="G257" s="59" t="s">
        <v>197</v>
      </c>
      <c r="H257" s="53" t="b">
        <f ca="1">IFERROR(__xludf.DUMMYFUNCTION("if($G257="""",false, if(isna(match(H$2, split($G257:$G383,"", "",False),0)),false,true))"),FALSE)</f>
        <v>0</v>
      </c>
      <c r="I257" s="53" t="b">
        <f ca="1">IFERROR(__xludf.DUMMYFUNCTION("if($G257="""",false, if(isna(match(I$2, split($G257:$G383,"", "",False),0)),false,true))"),FALSE)</f>
        <v>0</v>
      </c>
      <c r="J257" s="53" t="b">
        <f ca="1">IFERROR(__xludf.DUMMYFUNCTION("if($G257="""",false, if(isna(match(J$2, split($G257:$G383,"", "",False),0)),false,true))"),FALSE)</f>
        <v>0</v>
      </c>
      <c r="K257" s="53" t="b">
        <f ca="1">IFERROR(__xludf.DUMMYFUNCTION("if($G257="""",false, if(isna(match(K$2, split($G257:$G383,"", "",False),0)),false,true))"),FALSE)</f>
        <v>0</v>
      </c>
      <c r="L257" s="53" t="b">
        <f ca="1">IFERROR(__xludf.DUMMYFUNCTION("if($G257="""",false, if(isna(match(L$2, split($G257:$G383,"", "",False),0)),false,true))"),FALSE)</f>
        <v>0</v>
      </c>
      <c r="M257" s="53" t="b">
        <f ca="1">IFERROR(__xludf.DUMMYFUNCTION("if($G257="""",false, if(isna(match(M$2, split($G257:$G383,"", "",False),0)),false,true))"),FALSE)</f>
        <v>0</v>
      </c>
      <c r="N257" s="53" t="b">
        <f ca="1">IFERROR(__xludf.DUMMYFUNCTION("if($G257="""",false, if(isna(match(N$2, split($G257:$G383,"", "",False),0)),false,true))"),FALSE)</f>
        <v>0</v>
      </c>
      <c r="O257" s="53" t="b">
        <f ca="1">IFERROR(__xludf.DUMMYFUNCTION("if($G257="""",false, if(isna(match(O$2, split($G257:$G383,"", "",False),0)),false,true))"),FALSE)</f>
        <v>0</v>
      </c>
      <c r="P257" s="53" t="b">
        <f ca="1">IFERROR(__xludf.DUMMYFUNCTION("if($G257="""",false, if(isna(match(P$2, split($G257:$G383,"", "",False),0)),false,true))"),FALSE)</f>
        <v>0</v>
      </c>
      <c r="Q257" s="53" t="b">
        <f ca="1">IFERROR(__xludf.DUMMYFUNCTION("if($G257="""",false, if(isna(match(Q$2, split($G257:$G383,"", "",False),0)),false,true))"),FALSE)</f>
        <v>0</v>
      </c>
      <c r="R257" s="53" t="b">
        <f ca="1">IFERROR(__xludf.DUMMYFUNCTION("if($G257="""",false, if(isna(match(R$2, split($G257:$G383,"", "",False),0)),false,true))"),FALSE)</f>
        <v>0</v>
      </c>
      <c r="S257" s="53" t="b">
        <f ca="1">IFERROR(__xludf.DUMMYFUNCTION("if($G257="""",false, if(isna(match(S$2, split($G257:$G383,"", "",False),0)),false,true))"),FALSE)</f>
        <v>0</v>
      </c>
      <c r="T257" s="53" t="b">
        <f ca="1">IFERROR(__xludf.DUMMYFUNCTION("if($G257="""",false, if(isna(match(T$2, split($G257:$G383,"", "",False),0)),false,true))"),FALSE)</f>
        <v>0</v>
      </c>
      <c r="U257" s="53" t="b">
        <f ca="1">IFERROR(__xludf.DUMMYFUNCTION("if($G257="""",false, if(isna(match(U$2, split($G257:$G383,"", "",False),0)),false,true))"),FALSE)</f>
        <v>0</v>
      </c>
      <c r="V257" s="53" t="b">
        <f ca="1">IFERROR(__xludf.DUMMYFUNCTION("if($G257="""",false, if(isna(match(V$2, split($G257:$G383,"", "",False),0)),false,true))"),FALSE)</f>
        <v>0</v>
      </c>
      <c r="W257" s="57" t="b">
        <f ca="1">IFERROR(__xludf.DUMMYFUNCTION("if($G257="""",false, if(isna(match(W$2, split($G257:$G383,"", "",False),0)),false,true))"),FALSE)</f>
        <v>0</v>
      </c>
    </row>
    <row r="258" spans="1:23" ht="28">
      <c r="A258" s="47" t="s">
        <v>765</v>
      </c>
      <c r="B258" s="47" t="s">
        <v>65</v>
      </c>
      <c r="C258" s="49" t="s">
        <v>627</v>
      </c>
      <c r="D258" s="52" t="s">
        <v>756</v>
      </c>
      <c r="E258" s="49" t="s">
        <v>757</v>
      </c>
      <c r="F258" s="52" t="s">
        <v>766</v>
      </c>
      <c r="G258" s="59" t="s">
        <v>197</v>
      </c>
      <c r="H258" s="53" t="b">
        <f ca="1">IFERROR(__xludf.DUMMYFUNCTION("if($G258="""",false, if(isna(match(H$2, split($G258:$G383,"", "",False),0)),false,true))"),FALSE)</f>
        <v>0</v>
      </c>
      <c r="I258" s="53" t="b">
        <f ca="1">IFERROR(__xludf.DUMMYFUNCTION("if($G258="""",false, if(isna(match(I$2, split($G258:$G383,"", "",False),0)),false,true))"),FALSE)</f>
        <v>0</v>
      </c>
      <c r="J258" s="53" t="b">
        <f ca="1">IFERROR(__xludf.DUMMYFUNCTION("if($G258="""",false, if(isna(match(J$2, split($G258:$G383,"", "",False),0)),false,true))"),FALSE)</f>
        <v>0</v>
      </c>
      <c r="K258" s="53" t="b">
        <f ca="1">IFERROR(__xludf.DUMMYFUNCTION("if($G258="""",false, if(isna(match(K$2, split($G258:$G383,"", "",False),0)),false,true))"),FALSE)</f>
        <v>0</v>
      </c>
      <c r="L258" s="53" t="b">
        <f ca="1">IFERROR(__xludf.DUMMYFUNCTION("if($G258="""",false, if(isna(match(L$2, split($G258:$G383,"", "",False),0)),false,true))"),FALSE)</f>
        <v>0</v>
      </c>
      <c r="M258" s="53" t="b">
        <f ca="1">IFERROR(__xludf.DUMMYFUNCTION("if($G258="""",false, if(isna(match(M$2, split($G258:$G383,"", "",False),0)),false,true))"),FALSE)</f>
        <v>0</v>
      </c>
      <c r="N258" s="53" t="b">
        <f ca="1">IFERROR(__xludf.DUMMYFUNCTION("if($G258="""",false, if(isna(match(N$2, split($G258:$G383,"", "",False),0)),false,true))"),FALSE)</f>
        <v>0</v>
      </c>
      <c r="O258" s="53" t="b">
        <f ca="1">IFERROR(__xludf.DUMMYFUNCTION("if($G258="""",false, if(isna(match(O$2, split($G258:$G383,"", "",False),0)),false,true))"),FALSE)</f>
        <v>0</v>
      </c>
      <c r="P258" s="53" t="b">
        <f ca="1">IFERROR(__xludf.DUMMYFUNCTION("if($G258="""",false, if(isna(match(P$2, split($G258:$G383,"", "",False),0)),false,true))"),FALSE)</f>
        <v>0</v>
      </c>
      <c r="Q258" s="53" t="b">
        <f ca="1">IFERROR(__xludf.DUMMYFUNCTION("if($G258="""",false, if(isna(match(Q$2, split($G258:$G383,"", "",False),0)),false,true))"),FALSE)</f>
        <v>0</v>
      </c>
      <c r="R258" s="53" t="b">
        <f ca="1">IFERROR(__xludf.DUMMYFUNCTION("if($G258="""",false, if(isna(match(R$2, split($G258:$G383,"", "",False),0)),false,true))"),FALSE)</f>
        <v>0</v>
      </c>
      <c r="S258" s="53" t="b">
        <f ca="1">IFERROR(__xludf.DUMMYFUNCTION("if($G258="""",false, if(isna(match(S$2, split($G258:$G383,"", "",False),0)),false,true))"),FALSE)</f>
        <v>0</v>
      </c>
      <c r="T258" s="53" t="b">
        <f ca="1">IFERROR(__xludf.DUMMYFUNCTION("if($G258="""",false, if(isna(match(T$2, split($G258:$G383,"", "",False),0)),false,true))"),FALSE)</f>
        <v>0</v>
      </c>
      <c r="U258" s="53" t="b">
        <f ca="1">IFERROR(__xludf.DUMMYFUNCTION("if($G258="""",false, if(isna(match(U$2, split($G258:$G383,"", "",False),0)),false,true))"),FALSE)</f>
        <v>0</v>
      </c>
      <c r="V258" s="53" t="b">
        <f ca="1">IFERROR(__xludf.DUMMYFUNCTION("if($G258="""",false, if(isna(match(V$2, split($G258:$G383,"", "",False),0)),false,true))"),FALSE)</f>
        <v>0</v>
      </c>
      <c r="W258" s="57" t="b">
        <f ca="1">IFERROR(__xludf.DUMMYFUNCTION("if($G258="""",false, if(isna(match(W$2, split($G258:$G383,"", "",False),0)),false,true))"),FALSE)</f>
        <v>0</v>
      </c>
    </row>
    <row r="259" spans="1:23" ht="42">
      <c r="A259" s="47" t="s">
        <v>767</v>
      </c>
      <c r="B259" s="47" t="s">
        <v>65</v>
      </c>
      <c r="C259" s="49" t="s">
        <v>627</v>
      </c>
      <c r="D259" s="52" t="s">
        <v>756</v>
      </c>
      <c r="E259" s="49" t="s">
        <v>768</v>
      </c>
      <c r="F259" s="52" t="s">
        <v>769</v>
      </c>
      <c r="G259" s="59" t="s">
        <v>535</v>
      </c>
      <c r="H259" s="53" t="b">
        <f ca="1">IFERROR(__xludf.DUMMYFUNCTION("if($G259="""",false, if(isna(match(H$2, split($G259:$G383,"", "",False),0)),false,true))"),FALSE)</f>
        <v>0</v>
      </c>
      <c r="I259" s="53" t="b">
        <f ca="1">IFERROR(__xludf.DUMMYFUNCTION("if($G259="""",false, if(isna(match(I$2, split($G259:$G383,"", "",False),0)),false,true))"),FALSE)</f>
        <v>0</v>
      </c>
      <c r="J259" s="53" t="b">
        <f ca="1">IFERROR(__xludf.DUMMYFUNCTION("if($G259="""",false, if(isna(match(J$2, split($G259:$G383,"", "",False),0)),false,true))"),FALSE)</f>
        <v>0</v>
      </c>
      <c r="K259" s="53" t="b">
        <f ca="1">IFERROR(__xludf.DUMMYFUNCTION("if($G259="""",false, if(isna(match(K$2, split($G259:$G383,"", "",False),0)),false,true))"),FALSE)</f>
        <v>0</v>
      </c>
      <c r="L259" s="53" t="b">
        <f ca="1">IFERROR(__xludf.DUMMYFUNCTION("if($G259="""",false, if(isna(match(L$2, split($G259:$G383,"", "",False),0)),false,true))"),FALSE)</f>
        <v>0</v>
      </c>
      <c r="M259" s="53" t="b">
        <f ca="1">IFERROR(__xludf.DUMMYFUNCTION("if($G259="""",false, if(isna(match(M$2, split($G259:$G383,"", "",False),0)),false,true))"),FALSE)</f>
        <v>0</v>
      </c>
      <c r="N259" s="53" t="b">
        <f ca="1">IFERROR(__xludf.DUMMYFUNCTION("if($G259="""",false, if(isna(match(N$2, split($G259:$G383,"", "",False),0)),false,true))"),FALSE)</f>
        <v>0</v>
      </c>
      <c r="O259" s="53" t="b">
        <f ca="1">IFERROR(__xludf.DUMMYFUNCTION("if($G259="""",false, if(isna(match(O$2, split($G259:$G383,"", "",False),0)),false,true))"),FALSE)</f>
        <v>0</v>
      </c>
      <c r="P259" s="53" t="b">
        <f ca="1">IFERROR(__xludf.DUMMYFUNCTION("if($G259="""",false, if(isna(match(P$2, split($G259:$G383,"", "",False),0)),false,true))"),FALSE)</f>
        <v>0</v>
      </c>
      <c r="Q259" s="53" t="b">
        <f ca="1">IFERROR(__xludf.DUMMYFUNCTION("if($G259="""",false, if(isna(match(Q$2, split($G259:$G383,"", "",False),0)),false,true))"),FALSE)</f>
        <v>0</v>
      </c>
      <c r="R259" s="53" t="b">
        <f ca="1">IFERROR(__xludf.DUMMYFUNCTION("if($G259="""",false, if(isna(match(R$2, split($G259:$G383,"", "",False),0)),false,true))"),FALSE)</f>
        <v>0</v>
      </c>
      <c r="S259" s="53" t="b">
        <f ca="1">IFERROR(__xludf.DUMMYFUNCTION("if($G259="""",false, if(isna(match(S$2, split($G259:$G383,"", "",False),0)),false,true))"),TRUE)</f>
        <v>1</v>
      </c>
      <c r="T259" s="53" t="b">
        <f ca="1">IFERROR(__xludf.DUMMYFUNCTION("if($G259="""",false, if(isna(match(T$2, split($G259:$G383,"", "",False),0)),false,true))"),FALSE)</f>
        <v>0</v>
      </c>
      <c r="U259" s="53" t="b">
        <f ca="1">IFERROR(__xludf.DUMMYFUNCTION("if($G259="""",false, if(isna(match(U$2, split($G259:$G383,"", "",False),0)),false,true))"),FALSE)</f>
        <v>0</v>
      </c>
      <c r="V259" s="53" t="b">
        <f ca="1">IFERROR(__xludf.DUMMYFUNCTION("if($G259="""",false, if(isna(match(V$2, split($G259:$G383,"", "",False),0)),false,true))"),FALSE)</f>
        <v>0</v>
      </c>
      <c r="W259" s="57" t="b">
        <f ca="1">IFERROR(__xludf.DUMMYFUNCTION("if($G259="""",false, if(isna(match(W$2, split($G259:$G383,"", "",False),0)),false,true))"),FALSE)</f>
        <v>0</v>
      </c>
    </row>
    <row r="260" spans="1:23" ht="28">
      <c r="A260" s="47" t="s">
        <v>770</v>
      </c>
      <c r="B260" s="47" t="s">
        <v>65</v>
      </c>
      <c r="C260" s="49" t="s">
        <v>627</v>
      </c>
      <c r="D260" s="52" t="s">
        <v>756</v>
      </c>
      <c r="E260" s="49" t="s">
        <v>768</v>
      </c>
      <c r="F260" s="52" t="s">
        <v>771</v>
      </c>
      <c r="G260" s="59" t="s">
        <v>535</v>
      </c>
      <c r="H260" s="53" t="b">
        <f ca="1">IFERROR(__xludf.DUMMYFUNCTION("if($G260="""",false, if(isna(match(H$2, split($G260:$G383,"", "",False),0)),false,true))"),FALSE)</f>
        <v>0</v>
      </c>
      <c r="I260" s="53" t="b">
        <f ca="1">IFERROR(__xludf.DUMMYFUNCTION("if($G260="""",false, if(isna(match(I$2, split($G260:$G383,"", "",False),0)),false,true))"),FALSE)</f>
        <v>0</v>
      </c>
      <c r="J260" s="53" t="b">
        <f ca="1">IFERROR(__xludf.DUMMYFUNCTION("if($G260="""",false, if(isna(match(J$2, split($G260:$G383,"", "",False),0)),false,true))"),FALSE)</f>
        <v>0</v>
      </c>
      <c r="K260" s="53" t="b">
        <f ca="1">IFERROR(__xludf.DUMMYFUNCTION("if($G260="""",false, if(isna(match(K$2, split($G260:$G383,"", "",False),0)),false,true))"),FALSE)</f>
        <v>0</v>
      </c>
      <c r="L260" s="53" t="b">
        <f ca="1">IFERROR(__xludf.DUMMYFUNCTION("if($G260="""",false, if(isna(match(L$2, split($G260:$G383,"", "",False),0)),false,true))"),FALSE)</f>
        <v>0</v>
      </c>
      <c r="M260" s="53" t="b">
        <f ca="1">IFERROR(__xludf.DUMMYFUNCTION("if($G260="""",false, if(isna(match(M$2, split($G260:$G383,"", "",False),0)),false,true))"),FALSE)</f>
        <v>0</v>
      </c>
      <c r="N260" s="53" t="b">
        <f ca="1">IFERROR(__xludf.DUMMYFUNCTION("if($G260="""",false, if(isna(match(N$2, split($G260:$G383,"", "",False),0)),false,true))"),FALSE)</f>
        <v>0</v>
      </c>
      <c r="O260" s="53" t="b">
        <f ca="1">IFERROR(__xludf.DUMMYFUNCTION("if($G260="""",false, if(isna(match(O$2, split($G260:$G383,"", "",False),0)),false,true))"),FALSE)</f>
        <v>0</v>
      </c>
      <c r="P260" s="53" t="b">
        <f ca="1">IFERROR(__xludf.DUMMYFUNCTION("if($G260="""",false, if(isna(match(P$2, split($G260:$G383,"", "",False),0)),false,true))"),FALSE)</f>
        <v>0</v>
      </c>
      <c r="Q260" s="53" t="b">
        <f ca="1">IFERROR(__xludf.DUMMYFUNCTION("if($G260="""",false, if(isna(match(Q$2, split($G260:$G383,"", "",False),0)),false,true))"),FALSE)</f>
        <v>0</v>
      </c>
      <c r="R260" s="53" t="b">
        <f ca="1">IFERROR(__xludf.DUMMYFUNCTION("if($G260="""",false, if(isna(match(R$2, split($G260:$G383,"", "",False),0)),false,true))"),FALSE)</f>
        <v>0</v>
      </c>
      <c r="S260" s="53" t="b">
        <f ca="1">IFERROR(__xludf.DUMMYFUNCTION("if($G260="""",false, if(isna(match(S$2, split($G260:$G383,"", "",False),0)),false,true))"),TRUE)</f>
        <v>1</v>
      </c>
      <c r="T260" s="53" t="b">
        <f ca="1">IFERROR(__xludf.DUMMYFUNCTION("if($G260="""",false, if(isna(match(T$2, split($G260:$G383,"", "",False),0)),false,true))"),FALSE)</f>
        <v>0</v>
      </c>
      <c r="U260" s="53" t="b">
        <f ca="1">IFERROR(__xludf.DUMMYFUNCTION("if($G260="""",false, if(isna(match(U$2, split($G260:$G383,"", "",False),0)),false,true))"),FALSE)</f>
        <v>0</v>
      </c>
      <c r="V260" s="53" t="b">
        <f ca="1">IFERROR(__xludf.DUMMYFUNCTION("if($G260="""",false, if(isna(match(V$2, split($G260:$G383,"", "",False),0)),false,true))"),FALSE)</f>
        <v>0</v>
      </c>
      <c r="W260" s="57" t="b">
        <f ca="1">IFERROR(__xludf.DUMMYFUNCTION("if($G260="""",false, if(isna(match(W$2, split($G260:$G383,"", "",False),0)),false,true))"),FALSE)</f>
        <v>0</v>
      </c>
    </row>
    <row r="261" spans="1:23" ht="70">
      <c r="A261" s="47" t="s">
        <v>772</v>
      </c>
      <c r="B261" s="47" t="s">
        <v>65</v>
      </c>
      <c r="C261" s="49" t="s">
        <v>627</v>
      </c>
      <c r="D261" s="52" t="s">
        <v>756</v>
      </c>
      <c r="E261" s="49" t="s">
        <v>768</v>
      </c>
      <c r="F261" s="52" t="s">
        <v>773</v>
      </c>
      <c r="G261" s="59" t="s">
        <v>535</v>
      </c>
      <c r="H261" s="53" t="b">
        <f ca="1">IFERROR(__xludf.DUMMYFUNCTION("if($G261="""",false, if(isna(match(H$2, split($G261:$G383,"", "",False),0)),false,true))"),FALSE)</f>
        <v>0</v>
      </c>
      <c r="I261" s="53" t="b">
        <f ca="1">IFERROR(__xludf.DUMMYFUNCTION("if($G261="""",false, if(isna(match(I$2, split($G261:$G383,"", "",False),0)),false,true))"),FALSE)</f>
        <v>0</v>
      </c>
      <c r="J261" s="53" t="b">
        <f ca="1">IFERROR(__xludf.DUMMYFUNCTION("if($G261="""",false, if(isna(match(J$2, split($G261:$G383,"", "",False),0)),false,true))"),FALSE)</f>
        <v>0</v>
      </c>
      <c r="K261" s="53" t="b">
        <f ca="1">IFERROR(__xludf.DUMMYFUNCTION("if($G261="""",false, if(isna(match(K$2, split($G261:$G383,"", "",False),0)),false,true))"),FALSE)</f>
        <v>0</v>
      </c>
      <c r="L261" s="53" t="b">
        <f ca="1">IFERROR(__xludf.DUMMYFUNCTION("if($G261="""",false, if(isna(match(L$2, split($G261:$G383,"", "",False),0)),false,true))"),FALSE)</f>
        <v>0</v>
      </c>
      <c r="M261" s="53" t="b">
        <f ca="1">IFERROR(__xludf.DUMMYFUNCTION("if($G261="""",false, if(isna(match(M$2, split($G261:$G383,"", "",False),0)),false,true))"),FALSE)</f>
        <v>0</v>
      </c>
      <c r="N261" s="53" t="b">
        <f ca="1">IFERROR(__xludf.DUMMYFUNCTION("if($G261="""",false, if(isna(match(N$2, split($G261:$G383,"", "",False),0)),false,true))"),FALSE)</f>
        <v>0</v>
      </c>
      <c r="O261" s="53" t="b">
        <f ca="1">IFERROR(__xludf.DUMMYFUNCTION("if($G261="""",false, if(isna(match(O$2, split($G261:$G383,"", "",False),0)),false,true))"),FALSE)</f>
        <v>0</v>
      </c>
      <c r="P261" s="53" t="b">
        <f ca="1">IFERROR(__xludf.DUMMYFUNCTION("if($G261="""",false, if(isna(match(P$2, split($G261:$G383,"", "",False),0)),false,true))"),FALSE)</f>
        <v>0</v>
      </c>
      <c r="Q261" s="53" t="b">
        <f ca="1">IFERROR(__xludf.DUMMYFUNCTION("if($G261="""",false, if(isna(match(Q$2, split($G261:$G383,"", "",False),0)),false,true))"),FALSE)</f>
        <v>0</v>
      </c>
      <c r="R261" s="53" t="b">
        <f ca="1">IFERROR(__xludf.DUMMYFUNCTION("if($G261="""",false, if(isna(match(R$2, split($G261:$G383,"", "",False),0)),false,true))"),FALSE)</f>
        <v>0</v>
      </c>
      <c r="S261" s="53" t="b">
        <f ca="1">IFERROR(__xludf.DUMMYFUNCTION("if($G261="""",false, if(isna(match(S$2, split($G261:$G383,"", "",False),0)),false,true))"),TRUE)</f>
        <v>1</v>
      </c>
      <c r="T261" s="53" t="b">
        <f ca="1">IFERROR(__xludf.DUMMYFUNCTION("if($G261="""",false, if(isna(match(T$2, split($G261:$G383,"", "",False),0)),false,true))"),FALSE)</f>
        <v>0</v>
      </c>
      <c r="U261" s="53" t="b">
        <f ca="1">IFERROR(__xludf.DUMMYFUNCTION("if($G261="""",false, if(isna(match(U$2, split($G261:$G383,"", "",False),0)),false,true))"),FALSE)</f>
        <v>0</v>
      </c>
      <c r="V261" s="53" t="b">
        <f ca="1">IFERROR(__xludf.DUMMYFUNCTION("if($G261="""",false, if(isna(match(V$2, split($G261:$G383,"", "",False),0)),false,true))"),FALSE)</f>
        <v>0</v>
      </c>
      <c r="W261" s="57" t="b">
        <f ca="1">IFERROR(__xludf.DUMMYFUNCTION("if($G261="""",false, if(isna(match(W$2, split($G261:$G383,"", "",False),0)),false,true))"),FALSE)</f>
        <v>0</v>
      </c>
    </row>
    <row r="262" spans="1:23" ht="28">
      <c r="A262" s="47" t="s">
        <v>774</v>
      </c>
      <c r="B262" s="47" t="s">
        <v>65</v>
      </c>
      <c r="C262" s="49" t="s">
        <v>627</v>
      </c>
      <c r="D262" s="52" t="s">
        <v>756</v>
      </c>
      <c r="E262" s="49" t="s">
        <v>775</v>
      </c>
      <c r="F262" s="52" t="s">
        <v>776</v>
      </c>
      <c r="G262" s="59" t="s">
        <v>777</v>
      </c>
      <c r="H262" s="53" t="b">
        <f ca="1">IFERROR(__xludf.DUMMYFUNCTION("if($G262="""",false, if(isna(match(H$2, split($G262:$G383,"", "",False),0)),false,true))"),FALSE)</f>
        <v>0</v>
      </c>
      <c r="I262" s="53" t="b">
        <f ca="1">IFERROR(__xludf.DUMMYFUNCTION("if($G262="""",false, if(isna(match(I$2, split($G262:$G383,"", "",False),0)),false,true))"),FALSE)</f>
        <v>0</v>
      </c>
      <c r="J262" s="53" t="b">
        <f ca="1">IFERROR(__xludf.DUMMYFUNCTION("if($G262="""",false, if(isna(match(J$2, split($G262:$G383,"", "",False),0)),false,true))"),FALSE)</f>
        <v>0</v>
      </c>
      <c r="K262" s="53" t="b">
        <f ca="1">IFERROR(__xludf.DUMMYFUNCTION("if($G262="""",false, if(isna(match(K$2, split($G262:$G383,"", "",False),0)),false,true))"),FALSE)</f>
        <v>0</v>
      </c>
      <c r="L262" s="53" t="b">
        <f ca="1">IFERROR(__xludf.DUMMYFUNCTION("if($G262="""",false, if(isna(match(L$2, split($G262:$G383,"", "",False),0)),false,true))"),FALSE)</f>
        <v>0</v>
      </c>
      <c r="M262" s="53" t="b">
        <f ca="1">IFERROR(__xludf.DUMMYFUNCTION("if($G262="""",false, if(isna(match(M$2, split($G262:$G383,"", "",False),0)),false,true))"),FALSE)</f>
        <v>0</v>
      </c>
      <c r="N262" s="53" t="b">
        <f ca="1">IFERROR(__xludf.DUMMYFUNCTION("if($G262="""",false, if(isna(match(N$2, split($G262:$G383,"", "",False),0)),false,true))"),FALSE)</f>
        <v>0</v>
      </c>
      <c r="O262" s="53" t="b">
        <f ca="1">IFERROR(__xludf.DUMMYFUNCTION("if($G262="""",false, if(isna(match(O$2, split($G262:$G383,"", "",False),0)),false,true))"),FALSE)</f>
        <v>0</v>
      </c>
      <c r="P262" s="53" t="b">
        <f ca="1">IFERROR(__xludf.DUMMYFUNCTION("if($G262="""",false, if(isna(match(P$2, split($G262:$G383,"", "",False),0)),false,true))"),TRUE)</f>
        <v>1</v>
      </c>
      <c r="Q262" s="53" t="b">
        <f ca="1">IFERROR(__xludf.DUMMYFUNCTION("if($G262="""",false, if(isna(match(Q$2, split($G262:$G383,"", "",False),0)),false,true))"),TRUE)</f>
        <v>1</v>
      </c>
      <c r="R262" s="53" t="b">
        <f ca="1">IFERROR(__xludf.DUMMYFUNCTION("if($G262="""",false, if(isna(match(R$2, split($G262:$G383,"", "",False),0)),false,true))"),FALSE)</f>
        <v>0</v>
      </c>
      <c r="S262" s="53" t="b">
        <f ca="1">IFERROR(__xludf.DUMMYFUNCTION("if($G262="""",false, if(isna(match(S$2, split($G262:$G383,"", "",False),0)),false,true))"),TRUE)</f>
        <v>1</v>
      </c>
      <c r="T262" s="53" t="b">
        <f ca="1">IFERROR(__xludf.DUMMYFUNCTION("if($G262="""",false, if(isna(match(T$2, split($G262:$G383,"", "",False),0)),false,true))"),TRUE)</f>
        <v>1</v>
      </c>
      <c r="U262" s="53" t="b">
        <f ca="1">IFERROR(__xludf.DUMMYFUNCTION("if($G262="""",false, if(isna(match(U$2, split($G262:$G383,"", "",False),0)),false,true))"),FALSE)</f>
        <v>0</v>
      </c>
      <c r="V262" s="53" t="b">
        <f ca="1">IFERROR(__xludf.DUMMYFUNCTION("if($G262="""",false, if(isna(match(V$2, split($G262:$G383,"", "",False),0)),false,true))"),FALSE)</f>
        <v>0</v>
      </c>
      <c r="W262" s="57" t="b">
        <f ca="1">IFERROR(__xludf.DUMMYFUNCTION("if($G262="""",false, if(isna(match(W$2, split($G262:$G383,"", "",False),0)),false,true))"),FALSE)</f>
        <v>0</v>
      </c>
    </row>
    <row r="263" spans="1:23" ht="28">
      <c r="A263" s="47" t="s">
        <v>778</v>
      </c>
      <c r="B263" s="47" t="s">
        <v>65</v>
      </c>
      <c r="C263" s="49" t="s">
        <v>627</v>
      </c>
      <c r="D263" s="52" t="s">
        <v>756</v>
      </c>
      <c r="E263" s="49" t="s">
        <v>775</v>
      </c>
      <c r="F263" s="52" t="s">
        <v>779</v>
      </c>
      <c r="G263" s="59" t="s">
        <v>123</v>
      </c>
      <c r="H263" s="53" t="b">
        <f ca="1">IFERROR(__xludf.DUMMYFUNCTION("if($G263="""",false, if(isna(match(H$2, split($G263:$G383,"", "",False),0)),false,true))"),FALSE)</f>
        <v>0</v>
      </c>
      <c r="I263" s="53" t="b">
        <f ca="1">IFERROR(__xludf.DUMMYFUNCTION("if($G263="""",false, if(isna(match(I$2, split($G263:$G383,"", "",False),0)),false,true))"),FALSE)</f>
        <v>0</v>
      </c>
      <c r="J263" s="53" t="b">
        <f ca="1">IFERROR(__xludf.DUMMYFUNCTION("if($G263="""",false, if(isna(match(J$2, split($G263:$G383,"", "",False),0)),false,true))"),FALSE)</f>
        <v>0</v>
      </c>
      <c r="K263" s="53" t="b">
        <f ca="1">IFERROR(__xludf.DUMMYFUNCTION("if($G263="""",false, if(isna(match(K$2, split($G263:$G383,"", "",False),0)),false,true))"),FALSE)</f>
        <v>0</v>
      </c>
      <c r="L263" s="53" t="b">
        <f ca="1">IFERROR(__xludf.DUMMYFUNCTION("if($G263="""",false, if(isna(match(L$2, split($G263:$G383,"", "",False),0)),false,true))"),FALSE)</f>
        <v>0</v>
      </c>
      <c r="M263" s="53" t="b">
        <f ca="1">IFERROR(__xludf.DUMMYFUNCTION("if($G263="""",false, if(isna(match(M$2, split($G263:$G383,"", "",False),0)),false,true))"),FALSE)</f>
        <v>0</v>
      </c>
      <c r="N263" s="53" t="b">
        <f ca="1">IFERROR(__xludf.DUMMYFUNCTION("if($G263="""",false, if(isna(match(N$2, split($G263:$G383,"", "",False),0)),false,true))"),FALSE)</f>
        <v>0</v>
      </c>
      <c r="O263" s="53" t="b">
        <f ca="1">IFERROR(__xludf.DUMMYFUNCTION("if($G263="""",false, if(isna(match(O$2, split($G263:$G383,"", "",False),0)),false,true))"),FALSE)</f>
        <v>0</v>
      </c>
      <c r="P263" s="53" t="b">
        <f ca="1">IFERROR(__xludf.DUMMYFUNCTION("if($G263="""",false, if(isna(match(P$2, split($G263:$G383,"", "",False),0)),false,true))"),FALSE)</f>
        <v>0</v>
      </c>
      <c r="Q263" s="53" t="b">
        <f ca="1">IFERROR(__xludf.DUMMYFUNCTION("if($G263="""",false, if(isna(match(Q$2, split($G263:$G383,"", "",False),0)),false,true))"),FALSE)</f>
        <v>0</v>
      </c>
      <c r="R263" s="53" t="b">
        <f ca="1">IFERROR(__xludf.DUMMYFUNCTION("if($G263="""",false, if(isna(match(R$2, split($G263:$G383,"", "",False),0)),false,true))"),FALSE)</f>
        <v>0</v>
      </c>
      <c r="S263" s="53" t="b">
        <f ca="1">IFERROR(__xludf.DUMMYFUNCTION("if($G263="""",false, if(isna(match(S$2, split($G263:$G383,"", "",False),0)),false,true))"),FALSE)</f>
        <v>0</v>
      </c>
      <c r="T263" s="53" t="b">
        <f ca="1">IFERROR(__xludf.DUMMYFUNCTION("if($G263="""",false, if(isna(match(T$2, split($G263:$G383,"", "",False),0)),false,true))"),FALSE)</f>
        <v>0</v>
      </c>
      <c r="U263" s="53" t="b">
        <f ca="1">IFERROR(__xludf.DUMMYFUNCTION("if($G263="""",false, if(isna(match(U$2, split($G263:$G383,"", "",False),0)),false,true))"),FALSE)</f>
        <v>0</v>
      </c>
      <c r="V263" s="53" t="b">
        <f ca="1">IFERROR(__xludf.DUMMYFUNCTION("if($G263="""",false, if(isna(match(V$2, split($G263:$G383,"", "",False),0)),false,true))"),FALSE)</f>
        <v>0</v>
      </c>
      <c r="W263" s="57" t="b">
        <f ca="1">IFERROR(__xludf.DUMMYFUNCTION("if($G263="""",false, if(isna(match(W$2, split($G263:$G383,"", "",False),0)),false,true))"),TRUE)</f>
        <v>1</v>
      </c>
    </row>
    <row r="264" spans="1:23" ht="28">
      <c r="A264" s="47" t="s">
        <v>780</v>
      </c>
      <c r="B264" s="47" t="s">
        <v>65</v>
      </c>
      <c r="C264" s="49" t="s">
        <v>627</v>
      </c>
      <c r="D264" s="52" t="s">
        <v>756</v>
      </c>
      <c r="E264" s="49" t="s">
        <v>775</v>
      </c>
      <c r="F264" s="52" t="s">
        <v>781</v>
      </c>
      <c r="G264" s="59" t="s">
        <v>782</v>
      </c>
      <c r="H264" s="53" t="b">
        <f ca="1">IFERROR(__xludf.DUMMYFUNCTION("if($G264="""",false, if(isna(match(H$2, split($G264:$G383,"", "",False),0)),false,true))"),FALSE)</f>
        <v>0</v>
      </c>
      <c r="I264" s="53" t="b">
        <f ca="1">IFERROR(__xludf.DUMMYFUNCTION("if($G264="""",false, if(isna(match(I$2, split($G264:$G383,"", "",False),0)),false,true))"),FALSE)</f>
        <v>0</v>
      </c>
      <c r="J264" s="53" t="b">
        <f ca="1">IFERROR(__xludf.DUMMYFUNCTION("if($G264="""",false, if(isna(match(J$2, split($G264:$G383,"", "",False),0)),false,true))"),FALSE)</f>
        <v>0</v>
      </c>
      <c r="K264" s="53" t="b">
        <f ca="1">IFERROR(__xludf.DUMMYFUNCTION("if($G264="""",false, if(isna(match(K$2, split($G264:$G383,"", "",False),0)),false,true))"),FALSE)</f>
        <v>0</v>
      </c>
      <c r="L264" s="53" t="b">
        <f ca="1">IFERROR(__xludf.DUMMYFUNCTION("if($G264="""",false, if(isna(match(L$2, split($G264:$G383,"", "",False),0)),false,true))"),FALSE)</f>
        <v>0</v>
      </c>
      <c r="M264" s="53" t="b">
        <f ca="1">IFERROR(__xludf.DUMMYFUNCTION("if($G264="""",false, if(isna(match(M$2, split($G264:$G383,"", "",False),0)),false,true))"),FALSE)</f>
        <v>0</v>
      </c>
      <c r="N264" s="53" t="b">
        <f ca="1">IFERROR(__xludf.DUMMYFUNCTION("if($G264="""",false, if(isna(match(N$2, split($G264:$G383,"", "",False),0)),false,true))"),FALSE)</f>
        <v>0</v>
      </c>
      <c r="O264" s="53" t="b">
        <f ca="1">IFERROR(__xludf.DUMMYFUNCTION("if($G264="""",false, if(isna(match(O$2, split($G264:$G383,"", "",False),0)),false,true))"),FALSE)</f>
        <v>0</v>
      </c>
      <c r="P264" s="53" t="b">
        <f ca="1">IFERROR(__xludf.DUMMYFUNCTION("if($G264="""",false, if(isna(match(P$2, split($G264:$G383,"", "",False),0)),false,true))"),FALSE)</f>
        <v>0</v>
      </c>
      <c r="Q264" s="53" t="b">
        <f ca="1">IFERROR(__xludf.DUMMYFUNCTION("if($G264="""",false, if(isna(match(Q$2, split($G264:$G383,"", "",False),0)),false,true))"),TRUE)</f>
        <v>1</v>
      </c>
      <c r="R264" s="53" t="b">
        <f ca="1">IFERROR(__xludf.DUMMYFUNCTION("if($G264="""",false, if(isna(match(R$2, split($G264:$G383,"", "",False),0)),false,true))"),FALSE)</f>
        <v>0</v>
      </c>
      <c r="S264" s="53" t="b">
        <f ca="1">IFERROR(__xludf.DUMMYFUNCTION("if($G264="""",false, if(isna(match(S$2, split($G264:$G383,"", "",False),0)),false,true))"),FALSE)</f>
        <v>0</v>
      </c>
      <c r="T264" s="53" t="b">
        <f ca="1">IFERROR(__xludf.DUMMYFUNCTION("if($G264="""",false, if(isna(match(T$2, split($G264:$G383,"", "",False),0)),false,true))"),TRUE)</f>
        <v>1</v>
      </c>
      <c r="U264" s="53" t="b">
        <f ca="1">IFERROR(__xludf.DUMMYFUNCTION("if($G264="""",false, if(isna(match(U$2, split($G264:$G383,"", "",False),0)),false,true))"),FALSE)</f>
        <v>0</v>
      </c>
      <c r="V264" s="53" t="b">
        <f ca="1">IFERROR(__xludf.DUMMYFUNCTION("if($G264="""",false, if(isna(match(V$2, split($G264:$G383,"", "",False),0)),false,true))"),FALSE)</f>
        <v>0</v>
      </c>
      <c r="W264" s="57" t="b">
        <f ca="1">IFERROR(__xludf.DUMMYFUNCTION("if($G264="""",false, if(isna(match(W$2, split($G264:$G383,"", "",False),0)),false,true))"),FALSE)</f>
        <v>0</v>
      </c>
    </row>
    <row r="265" spans="1:23" ht="28">
      <c r="A265" s="47" t="s">
        <v>783</v>
      </c>
      <c r="B265" s="47" t="s">
        <v>65</v>
      </c>
      <c r="C265" s="49" t="s">
        <v>627</v>
      </c>
      <c r="D265" s="52" t="s">
        <v>756</v>
      </c>
      <c r="E265" s="49" t="s">
        <v>775</v>
      </c>
      <c r="F265" s="52" t="s">
        <v>784</v>
      </c>
      <c r="G265" s="59" t="s">
        <v>557</v>
      </c>
      <c r="H265" s="53" t="b">
        <f ca="1">IFERROR(__xludf.DUMMYFUNCTION("if($G265="""",false, if(isna(match(H$2, split($G265:$G383,"", "",False),0)),false,true))"),FALSE)</f>
        <v>0</v>
      </c>
      <c r="I265" s="53" t="b">
        <f ca="1">IFERROR(__xludf.DUMMYFUNCTION("if($G265="""",false, if(isna(match(I$2, split($G265:$G383,"", "",False),0)),false,true))"),FALSE)</f>
        <v>0</v>
      </c>
      <c r="J265" s="53" t="b">
        <f ca="1">IFERROR(__xludf.DUMMYFUNCTION("if($G265="""",false, if(isna(match(J$2, split($G265:$G383,"", "",False),0)),false,true))"),FALSE)</f>
        <v>0</v>
      </c>
      <c r="K265" s="53" t="b">
        <f ca="1">IFERROR(__xludf.DUMMYFUNCTION("if($G265="""",false, if(isna(match(K$2, split($G265:$G383,"", "",False),0)),false,true))"),FALSE)</f>
        <v>0</v>
      </c>
      <c r="L265" s="53" t="b">
        <f ca="1">IFERROR(__xludf.DUMMYFUNCTION("if($G265="""",false, if(isna(match(L$2, split($G265:$G383,"", "",False),0)),false,true))"),FALSE)</f>
        <v>0</v>
      </c>
      <c r="M265" s="53" t="b">
        <f ca="1">IFERROR(__xludf.DUMMYFUNCTION("if($G265="""",false, if(isna(match(M$2, split($G265:$G383,"", "",False),0)),false,true))"),FALSE)</f>
        <v>0</v>
      </c>
      <c r="N265" s="53" t="b">
        <f ca="1">IFERROR(__xludf.DUMMYFUNCTION("if($G265="""",false, if(isna(match(N$2, split($G265:$G383,"", "",False),0)),false,true))"),FALSE)</f>
        <v>0</v>
      </c>
      <c r="O265" s="53" t="b">
        <f ca="1">IFERROR(__xludf.DUMMYFUNCTION("if($G265="""",false, if(isna(match(O$2, split($G265:$G383,"", "",False),0)),false,true))"),FALSE)</f>
        <v>0</v>
      </c>
      <c r="P265" s="53" t="b">
        <f ca="1">IFERROR(__xludf.DUMMYFUNCTION("if($G265="""",false, if(isna(match(P$2, split($G265:$G383,"", "",False),0)),false,true))"),TRUE)</f>
        <v>1</v>
      </c>
      <c r="Q265" s="53" t="b">
        <f ca="1">IFERROR(__xludf.DUMMYFUNCTION("if($G265="""",false, if(isna(match(Q$2, split($G265:$G383,"", "",False),0)),false,true))"),FALSE)</f>
        <v>0</v>
      </c>
      <c r="R265" s="53" t="b">
        <f ca="1">IFERROR(__xludf.DUMMYFUNCTION("if($G265="""",false, if(isna(match(R$2, split($G265:$G383,"", "",False),0)),false,true))"),FALSE)</f>
        <v>0</v>
      </c>
      <c r="S265" s="53" t="b">
        <f ca="1">IFERROR(__xludf.DUMMYFUNCTION("if($G265="""",false, if(isna(match(S$2, split($G265:$G383,"", "",False),0)),false,true))"),TRUE)</f>
        <v>1</v>
      </c>
      <c r="T265" s="53" t="b">
        <f ca="1">IFERROR(__xludf.DUMMYFUNCTION("if($G265="""",false, if(isna(match(T$2, split($G265:$G383,"", "",False),0)),false,true))"),FALSE)</f>
        <v>0</v>
      </c>
      <c r="U265" s="53" t="b">
        <f ca="1">IFERROR(__xludf.DUMMYFUNCTION("if($G265="""",false, if(isna(match(U$2, split($G265:$G383,"", "",False),0)),false,true))"),FALSE)</f>
        <v>0</v>
      </c>
      <c r="V265" s="53" t="b">
        <f ca="1">IFERROR(__xludf.DUMMYFUNCTION("if($G265="""",false, if(isna(match(V$2, split($G265:$G383,"", "",False),0)),false,true))"),FALSE)</f>
        <v>0</v>
      </c>
      <c r="W265" s="57" t="b">
        <f ca="1">IFERROR(__xludf.DUMMYFUNCTION("if($G265="""",false, if(isna(match(W$2, split($G265:$G383,"", "",False),0)),false,true))"),FALSE)</f>
        <v>0</v>
      </c>
    </row>
    <row r="266" spans="1:23" ht="28">
      <c r="A266" s="47" t="s">
        <v>785</v>
      </c>
      <c r="B266" s="47" t="s">
        <v>65</v>
      </c>
      <c r="C266" s="49" t="s">
        <v>627</v>
      </c>
      <c r="D266" s="52" t="s">
        <v>756</v>
      </c>
      <c r="E266" s="49" t="s">
        <v>775</v>
      </c>
      <c r="F266" s="52" t="s">
        <v>786</v>
      </c>
      <c r="G266" s="59" t="s">
        <v>116</v>
      </c>
      <c r="H266" s="53" t="b">
        <f ca="1">IFERROR(__xludf.DUMMYFUNCTION("if($G266="""",false, if(isna(match(H$2, split($G266:$G383,"", "",False),0)),false,true))"),FALSE)</f>
        <v>0</v>
      </c>
      <c r="I266" s="53" t="b">
        <f ca="1">IFERROR(__xludf.DUMMYFUNCTION("if($G266="""",false, if(isna(match(I$2, split($G266:$G383,"", "",False),0)),false,true))"),FALSE)</f>
        <v>0</v>
      </c>
      <c r="J266" s="53" t="b">
        <f ca="1">IFERROR(__xludf.DUMMYFUNCTION("if($G266="""",false, if(isna(match(J$2, split($G266:$G383,"", "",False),0)),false,true))"),FALSE)</f>
        <v>0</v>
      </c>
      <c r="K266" s="53" t="b">
        <f ca="1">IFERROR(__xludf.DUMMYFUNCTION("if($G266="""",false, if(isna(match(K$2, split($G266:$G383,"", "",False),0)),false,true))"),FALSE)</f>
        <v>0</v>
      </c>
      <c r="L266" s="53" t="b">
        <f ca="1">IFERROR(__xludf.DUMMYFUNCTION("if($G266="""",false, if(isna(match(L$2, split($G266:$G383,"", "",False),0)),false,true))"),FALSE)</f>
        <v>0</v>
      </c>
      <c r="M266" s="53" t="b">
        <f ca="1">IFERROR(__xludf.DUMMYFUNCTION("if($G266="""",false, if(isna(match(M$2, split($G266:$G383,"", "",False),0)),false,true))"),FALSE)</f>
        <v>0</v>
      </c>
      <c r="N266" s="53" t="b">
        <f ca="1">IFERROR(__xludf.DUMMYFUNCTION("if($G266="""",false, if(isna(match(N$2, split($G266:$G383,"", "",False),0)),false,true))"),FALSE)</f>
        <v>0</v>
      </c>
      <c r="O266" s="53" t="b">
        <f ca="1">IFERROR(__xludf.DUMMYFUNCTION("if($G266="""",false, if(isna(match(O$2, split($G266:$G383,"", "",False),0)),false,true))"),FALSE)</f>
        <v>0</v>
      </c>
      <c r="P266" s="53" t="b">
        <f ca="1">IFERROR(__xludf.DUMMYFUNCTION("if($G266="""",false, if(isna(match(P$2, split($G266:$G383,"", "",False),0)),false,true))"),TRUE)</f>
        <v>1</v>
      </c>
      <c r="Q266" s="53" t="b">
        <f ca="1">IFERROR(__xludf.DUMMYFUNCTION("if($G266="""",false, if(isna(match(Q$2, split($G266:$G383,"", "",False),0)),false,true))"),FALSE)</f>
        <v>0</v>
      </c>
      <c r="R266" s="53" t="b">
        <f ca="1">IFERROR(__xludf.DUMMYFUNCTION("if($G266="""",false, if(isna(match(R$2, split($G266:$G383,"", "",False),0)),false,true))"),FALSE)</f>
        <v>0</v>
      </c>
      <c r="S266" s="53" t="b">
        <f ca="1">IFERROR(__xludf.DUMMYFUNCTION("if($G266="""",false, if(isna(match(S$2, split($G266:$G383,"", "",False),0)),false,true))"),FALSE)</f>
        <v>0</v>
      </c>
      <c r="T266" s="53" t="b">
        <f ca="1">IFERROR(__xludf.DUMMYFUNCTION("if($G266="""",false, if(isna(match(T$2, split($G266:$G383,"", "",False),0)),false,true))"),FALSE)</f>
        <v>0</v>
      </c>
      <c r="U266" s="53" t="b">
        <f ca="1">IFERROR(__xludf.DUMMYFUNCTION("if($G266="""",false, if(isna(match(U$2, split($G266:$G383,"", "",False),0)),false,true))"),FALSE)</f>
        <v>0</v>
      </c>
      <c r="V266" s="53" t="b">
        <f ca="1">IFERROR(__xludf.DUMMYFUNCTION("if($G266="""",false, if(isna(match(V$2, split($G266:$G383,"", "",False),0)),false,true))"),FALSE)</f>
        <v>0</v>
      </c>
      <c r="W266" s="57" t="b">
        <f ca="1">IFERROR(__xludf.DUMMYFUNCTION("if($G266="""",false, if(isna(match(W$2, split($G266:$G383,"", "",False),0)),false,true))"),FALSE)</f>
        <v>0</v>
      </c>
    </row>
    <row r="267" spans="1:23" ht="84">
      <c r="A267" s="47" t="s">
        <v>787</v>
      </c>
      <c r="B267" s="47" t="s">
        <v>65</v>
      </c>
      <c r="C267" s="49" t="s">
        <v>627</v>
      </c>
      <c r="D267" s="52" t="s">
        <v>756</v>
      </c>
      <c r="E267" s="49" t="s">
        <v>775</v>
      </c>
      <c r="F267" s="52" t="s">
        <v>788</v>
      </c>
      <c r="G267" s="59" t="s">
        <v>789</v>
      </c>
      <c r="H267" s="53" t="b">
        <f ca="1">IFERROR(__xludf.DUMMYFUNCTION("if($G267="""",false, if(isna(match(H$2, split($G267:$G383,"", "",False),0)),false,true))"),FALSE)</f>
        <v>0</v>
      </c>
      <c r="I267" s="53" t="b">
        <f ca="1">IFERROR(__xludf.DUMMYFUNCTION("if($G267="""",false, if(isna(match(I$2, split($G267:$G383,"", "",False),0)),false,true))"),FALSE)</f>
        <v>0</v>
      </c>
      <c r="J267" s="53" t="b">
        <f ca="1">IFERROR(__xludf.DUMMYFUNCTION("if($G267="""",false, if(isna(match(J$2, split($G267:$G383,"", "",False),0)),false,true))"),FALSE)</f>
        <v>0</v>
      </c>
      <c r="K267" s="53" t="b">
        <f ca="1">IFERROR(__xludf.DUMMYFUNCTION("if($G267="""",false, if(isna(match(K$2, split($G267:$G383,"", "",False),0)),false,true))"),FALSE)</f>
        <v>0</v>
      </c>
      <c r="L267" s="53" t="b">
        <f ca="1">IFERROR(__xludf.DUMMYFUNCTION("if($G267="""",false, if(isna(match(L$2, split($G267:$G383,"", "",False),0)),false,true))"),FALSE)</f>
        <v>0</v>
      </c>
      <c r="M267" s="53" t="b">
        <f ca="1">IFERROR(__xludf.DUMMYFUNCTION("if($G267="""",false, if(isna(match(M$2, split($G267:$G383,"", "",False),0)),false,true))"),FALSE)</f>
        <v>0</v>
      </c>
      <c r="N267" s="53" t="b">
        <f ca="1">IFERROR(__xludf.DUMMYFUNCTION("if($G267="""",false, if(isna(match(N$2, split($G267:$G383,"", "",False),0)),false,true))"),FALSE)</f>
        <v>0</v>
      </c>
      <c r="O267" s="53" t="b">
        <f ca="1">IFERROR(__xludf.DUMMYFUNCTION("if($G267="""",false, if(isna(match(O$2, split($G267:$G383,"", "",False),0)),false,true))"),FALSE)</f>
        <v>0</v>
      </c>
      <c r="P267" s="53" t="b">
        <f ca="1">IFERROR(__xludf.DUMMYFUNCTION("if($G267="""",false, if(isna(match(P$2, split($G267:$G383,"", "",False),0)),false,true))"),TRUE)</f>
        <v>1</v>
      </c>
      <c r="Q267" s="53" t="b">
        <f ca="1">IFERROR(__xludf.DUMMYFUNCTION("if($G267="""",false, if(isna(match(Q$2, split($G267:$G383,"", "",False),0)),false,true))"),TRUE)</f>
        <v>1</v>
      </c>
      <c r="R267" s="53" t="b">
        <f ca="1">IFERROR(__xludf.DUMMYFUNCTION("if($G267="""",false, if(isna(match(R$2, split($G267:$G383,"", "",False),0)),false,true))"),TRUE)</f>
        <v>1</v>
      </c>
      <c r="S267" s="53" t="b">
        <f ca="1">IFERROR(__xludf.DUMMYFUNCTION("if($G267="""",false, if(isna(match(S$2, split($G267:$G383,"", "",False),0)),false,true))"),FALSE)</f>
        <v>0</v>
      </c>
      <c r="T267" s="53" t="b">
        <f ca="1">IFERROR(__xludf.DUMMYFUNCTION("if($G267="""",false, if(isna(match(T$2, split($G267:$G383,"", "",False),0)),false,true))"),FALSE)</f>
        <v>0</v>
      </c>
      <c r="U267" s="53" t="b">
        <f ca="1">IFERROR(__xludf.DUMMYFUNCTION("if($G267="""",false, if(isna(match(U$2, split($G267:$G383,"", "",False),0)),false,true))"),FALSE)</f>
        <v>0</v>
      </c>
      <c r="V267" s="53" t="b">
        <f ca="1">IFERROR(__xludf.DUMMYFUNCTION("if($G267="""",false, if(isna(match(V$2, split($G267:$G383,"", "",False),0)),false,true))"),FALSE)</f>
        <v>0</v>
      </c>
      <c r="W267" s="57" t="b">
        <f ca="1">IFERROR(__xludf.DUMMYFUNCTION("if($G267="""",false, if(isna(match(W$2, split($G267:$G383,"", "",False),0)),false,true))"),FALSE)</f>
        <v>0</v>
      </c>
    </row>
    <row r="268" spans="1:23" ht="98">
      <c r="A268" s="47" t="s">
        <v>790</v>
      </c>
      <c r="B268" s="47" t="s">
        <v>65</v>
      </c>
      <c r="C268" s="49" t="s">
        <v>627</v>
      </c>
      <c r="D268" s="52" t="s">
        <v>756</v>
      </c>
      <c r="E268" s="49" t="s">
        <v>775</v>
      </c>
      <c r="F268" s="52" t="s">
        <v>791</v>
      </c>
      <c r="G268" s="59" t="s">
        <v>566</v>
      </c>
      <c r="H268" s="53" t="b">
        <f ca="1">IFERROR(__xludf.DUMMYFUNCTION("if($G268="""",false, if(isna(match(H$2, split($G268:$G383,"", "",False),0)),false,true))"),FALSE)</f>
        <v>0</v>
      </c>
      <c r="I268" s="53" t="b">
        <f ca="1">IFERROR(__xludf.DUMMYFUNCTION("if($G268="""",false, if(isna(match(I$2, split($G268:$G383,"", "",False),0)),false,true))"),FALSE)</f>
        <v>0</v>
      </c>
      <c r="J268" s="53" t="b">
        <f ca="1">IFERROR(__xludf.DUMMYFUNCTION("if($G268="""",false, if(isna(match(J$2, split($G268:$G383,"", "",False),0)),false,true))"),FALSE)</f>
        <v>0</v>
      </c>
      <c r="K268" s="53" t="b">
        <f ca="1">IFERROR(__xludf.DUMMYFUNCTION("if($G268="""",false, if(isna(match(K$2, split($G268:$G383,"", "",False),0)),false,true))"),FALSE)</f>
        <v>0</v>
      </c>
      <c r="L268" s="53" t="b">
        <f ca="1">IFERROR(__xludf.DUMMYFUNCTION("if($G268="""",false, if(isna(match(L$2, split($G268:$G383,"", "",False),0)),false,true))"),FALSE)</f>
        <v>0</v>
      </c>
      <c r="M268" s="53" t="b">
        <f ca="1">IFERROR(__xludf.DUMMYFUNCTION("if($G268="""",false, if(isna(match(M$2, split($G268:$G383,"", "",False),0)),false,true))"),FALSE)</f>
        <v>0</v>
      </c>
      <c r="N268" s="53" t="b">
        <f ca="1">IFERROR(__xludf.DUMMYFUNCTION("if($G268="""",false, if(isna(match(N$2, split($G268:$G383,"", "",False),0)),false,true))"),FALSE)</f>
        <v>0</v>
      </c>
      <c r="O268" s="53" t="b">
        <f ca="1">IFERROR(__xludf.DUMMYFUNCTION("if($G268="""",false, if(isna(match(O$2, split($G268:$G383,"", "",False),0)),false,true))"),FALSE)</f>
        <v>0</v>
      </c>
      <c r="P268" s="53" t="b">
        <f ca="1">IFERROR(__xludf.DUMMYFUNCTION("if($G268="""",false, if(isna(match(P$2, split($G268:$G383,"", "",False),0)),false,true))"),FALSE)</f>
        <v>0</v>
      </c>
      <c r="Q268" s="53" t="b">
        <f ca="1">IFERROR(__xludf.DUMMYFUNCTION("if($G268="""",false, if(isna(match(Q$2, split($G268:$G383,"", "",False),0)),false,true))"),FALSE)</f>
        <v>0</v>
      </c>
      <c r="R268" s="53" t="b">
        <f ca="1">IFERROR(__xludf.DUMMYFUNCTION("if($G268="""",false, if(isna(match(R$2, split($G268:$G383,"", "",False),0)),false,true))"),FALSE)</f>
        <v>0</v>
      </c>
      <c r="S268" s="53" t="b">
        <f ca="1">IFERROR(__xludf.DUMMYFUNCTION("if($G268="""",false, if(isna(match(S$2, split($G268:$G383,"", "",False),0)),false,true))"),FALSE)</f>
        <v>0</v>
      </c>
      <c r="T268" s="53" t="b">
        <f ca="1">IFERROR(__xludf.DUMMYFUNCTION("if($G268="""",false, if(isna(match(T$2, split($G268:$G383,"", "",False),0)),false,true))"),FALSE)</f>
        <v>0</v>
      </c>
      <c r="U268" s="53" t="b">
        <f ca="1">IFERROR(__xludf.DUMMYFUNCTION("if($G268="""",false, if(isna(match(U$2, split($G268:$G383,"", "",False),0)),false,true))"),FALSE)</f>
        <v>0</v>
      </c>
      <c r="V268" s="53" t="b">
        <f ca="1">IFERROR(__xludf.DUMMYFUNCTION("if($G268="""",false, if(isna(match(V$2, split($G268:$G383,"", "",False),0)),false,true))"),FALSE)</f>
        <v>0</v>
      </c>
      <c r="W268" s="57" t="b">
        <f ca="1">IFERROR(__xludf.DUMMYFUNCTION("if($G268="""",false, if(isna(match(W$2, split($G268:$G383,"", "",False),0)),false,true))"),FALSE)</f>
        <v>0</v>
      </c>
    </row>
    <row r="269" spans="1:23" ht="28">
      <c r="A269" s="47" t="s">
        <v>792</v>
      </c>
      <c r="B269" s="47" t="s">
        <v>65</v>
      </c>
      <c r="C269" s="49" t="s">
        <v>627</v>
      </c>
      <c r="D269" s="52" t="s">
        <v>756</v>
      </c>
      <c r="E269" s="49" t="s">
        <v>775</v>
      </c>
      <c r="F269" s="52" t="s">
        <v>793</v>
      </c>
      <c r="G269" s="59" t="s">
        <v>230</v>
      </c>
      <c r="H269" s="53" t="b">
        <f ca="1">IFERROR(__xludf.DUMMYFUNCTION("if($G269="""",false, if(isna(match(H$2, split($G269:$G383,"", "",False),0)),false,true))"),FALSE)</f>
        <v>0</v>
      </c>
      <c r="I269" s="53" t="b">
        <f ca="1">IFERROR(__xludf.DUMMYFUNCTION("if($G269="""",false, if(isna(match(I$2, split($G269:$G383,"", "",False),0)),false,true))"),FALSE)</f>
        <v>0</v>
      </c>
      <c r="J269" s="53" t="b">
        <f ca="1">IFERROR(__xludf.DUMMYFUNCTION("if($G269="""",false, if(isna(match(J$2, split($G269:$G383,"", "",False),0)),false,true))"),FALSE)</f>
        <v>0</v>
      </c>
      <c r="K269" s="53" t="b">
        <f ca="1">IFERROR(__xludf.DUMMYFUNCTION("if($G269="""",false, if(isna(match(K$2, split($G269:$G383,"", "",False),0)),false,true))"),FALSE)</f>
        <v>0</v>
      </c>
      <c r="L269" s="53" t="b">
        <f ca="1">IFERROR(__xludf.DUMMYFUNCTION("if($G269="""",false, if(isna(match(L$2, split($G269:$G383,"", "",False),0)),false,true))"),FALSE)</f>
        <v>0</v>
      </c>
      <c r="M269" s="53" t="b">
        <f ca="1">IFERROR(__xludf.DUMMYFUNCTION("if($G269="""",false, if(isna(match(M$2, split($G269:$G383,"", "",False),0)),false,true))"),FALSE)</f>
        <v>0</v>
      </c>
      <c r="N269" s="53" t="b">
        <f ca="1">IFERROR(__xludf.DUMMYFUNCTION("if($G269="""",false, if(isna(match(N$2, split($G269:$G383,"", "",False),0)),false,true))"),FALSE)</f>
        <v>0</v>
      </c>
      <c r="O269" s="53" t="b">
        <f ca="1">IFERROR(__xludf.DUMMYFUNCTION("if($G269="""",false, if(isna(match(O$2, split($G269:$G383,"", "",False),0)),false,true))"),FALSE)</f>
        <v>0</v>
      </c>
      <c r="P269" s="53" t="b">
        <f ca="1">IFERROR(__xludf.DUMMYFUNCTION("if($G269="""",false, if(isna(match(P$2, split($G269:$G383,"", "",False),0)),false,true))"),FALSE)</f>
        <v>0</v>
      </c>
      <c r="Q269" s="53" t="b">
        <f ca="1">IFERROR(__xludf.DUMMYFUNCTION("if($G269="""",false, if(isna(match(Q$2, split($G269:$G383,"", "",False),0)),false,true))"),FALSE)</f>
        <v>0</v>
      </c>
      <c r="R269" s="53" t="b">
        <f ca="1">IFERROR(__xludf.DUMMYFUNCTION("if($G269="""",false, if(isna(match(R$2, split($G269:$G383,"", "",False),0)),false,true))"),FALSE)</f>
        <v>0</v>
      </c>
      <c r="S269" s="53" t="b">
        <f ca="1">IFERROR(__xludf.DUMMYFUNCTION("if($G269="""",false, if(isna(match(S$2, split($G269:$G383,"", "",False),0)),false,true))"),FALSE)</f>
        <v>0</v>
      </c>
      <c r="T269" s="53" t="b">
        <f ca="1">IFERROR(__xludf.DUMMYFUNCTION("if($G269="""",false, if(isna(match(T$2, split($G269:$G383,"", "",False),0)),false,true))"),TRUE)</f>
        <v>1</v>
      </c>
      <c r="U269" s="53" t="b">
        <f ca="1">IFERROR(__xludf.DUMMYFUNCTION("if($G269="""",false, if(isna(match(U$2, split($G269:$G383,"", "",False),0)),false,true))"),FALSE)</f>
        <v>0</v>
      </c>
      <c r="V269" s="53" t="b">
        <f ca="1">IFERROR(__xludf.DUMMYFUNCTION("if($G269="""",false, if(isna(match(V$2, split($G269:$G383,"", "",False),0)),false,true))"),FALSE)</f>
        <v>0</v>
      </c>
      <c r="W269" s="57" t="b">
        <f ca="1">IFERROR(__xludf.DUMMYFUNCTION("if($G269="""",false, if(isna(match(W$2, split($G269:$G383,"", "",False),0)),false,true))"),FALSE)</f>
        <v>0</v>
      </c>
    </row>
    <row r="270" spans="1:23" ht="28">
      <c r="A270" s="47" t="s">
        <v>794</v>
      </c>
      <c r="B270" s="47" t="s">
        <v>65</v>
      </c>
      <c r="C270" s="49" t="s">
        <v>627</v>
      </c>
      <c r="D270" s="52" t="s">
        <v>756</v>
      </c>
      <c r="E270" s="49" t="s">
        <v>775</v>
      </c>
      <c r="F270" s="52" t="s">
        <v>795</v>
      </c>
      <c r="G270" s="59" t="s">
        <v>120</v>
      </c>
      <c r="H270" s="53" t="b">
        <f ca="1">IFERROR(__xludf.DUMMYFUNCTION("if($G270="""",false, if(isna(match(H$2, split($G270:$G383,"", "",False),0)),false,true))"),FALSE)</f>
        <v>0</v>
      </c>
      <c r="I270" s="53" t="b">
        <f ca="1">IFERROR(__xludf.DUMMYFUNCTION("if($G270="""",false, if(isna(match(I$2, split($G270:$G383,"", "",False),0)),false,true))"),FALSE)</f>
        <v>0</v>
      </c>
      <c r="J270" s="53" t="b">
        <f ca="1">IFERROR(__xludf.DUMMYFUNCTION("if($G270="""",false, if(isna(match(J$2, split($G270:$G383,"", "",False),0)),false,true))"),FALSE)</f>
        <v>0</v>
      </c>
      <c r="K270" s="53" t="b">
        <f ca="1">IFERROR(__xludf.DUMMYFUNCTION("if($G270="""",false, if(isna(match(K$2, split($G270:$G383,"", "",False),0)),false,true))"),FALSE)</f>
        <v>0</v>
      </c>
      <c r="L270" s="53" t="b">
        <f ca="1">IFERROR(__xludf.DUMMYFUNCTION("if($G270="""",false, if(isna(match(L$2, split($G270:$G383,"", "",False),0)),false,true))"),FALSE)</f>
        <v>0</v>
      </c>
      <c r="M270" s="53" t="b">
        <f ca="1">IFERROR(__xludf.DUMMYFUNCTION("if($G270="""",false, if(isna(match(M$2, split($G270:$G383,"", "",False),0)),false,true))"),FALSE)</f>
        <v>0</v>
      </c>
      <c r="N270" s="53" t="b">
        <f ca="1">IFERROR(__xludf.DUMMYFUNCTION("if($G270="""",false, if(isna(match(N$2, split($G270:$G383,"", "",False),0)),false,true))"),FALSE)</f>
        <v>0</v>
      </c>
      <c r="O270" s="53" t="b">
        <f ca="1">IFERROR(__xludf.DUMMYFUNCTION("if($G270="""",false, if(isna(match(O$2, split($G270:$G383,"", "",False),0)),false,true))"),FALSE)</f>
        <v>0</v>
      </c>
      <c r="P270" s="53" t="b">
        <f ca="1">IFERROR(__xludf.DUMMYFUNCTION("if($G270="""",false, if(isna(match(P$2, split($G270:$G383,"", "",False),0)),false,true))"),FALSE)</f>
        <v>0</v>
      </c>
      <c r="Q270" s="53" t="b">
        <f ca="1">IFERROR(__xludf.DUMMYFUNCTION("if($G270="""",false, if(isna(match(Q$2, split($G270:$G383,"", "",False),0)),false,true))"),FALSE)</f>
        <v>0</v>
      </c>
      <c r="R270" s="53" t="b">
        <f ca="1">IFERROR(__xludf.DUMMYFUNCTION("if($G270="""",false, if(isna(match(R$2, split($G270:$G383,"", "",False),0)),false,true))"),FALSE)</f>
        <v>0</v>
      </c>
      <c r="S270" s="53" t="b">
        <f ca="1">IFERROR(__xludf.DUMMYFUNCTION("if($G270="""",false, if(isna(match(S$2, split($G270:$G383,"", "",False),0)),false,true))"),FALSE)</f>
        <v>0</v>
      </c>
      <c r="T270" s="53" t="b">
        <f ca="1">IFERROR(__xludf.DUMMYFUNCTION("if($G270="""",false, if(isna(match(T$2, split($G270:$G383,"", "",False),0)),false,true))"),TRUE)</f>
        <v>1</v>
      </c>
      <c r="U270" s="53" t="b">
        <f ca="1">IFERROR(__xludf.DUMMYFUNCTION("if($G270="""",false, if(isna(match(U$2, split($G270:$G383,"", "",False),0)),false,true))"),FALSE)</f>
        <v>0</v>
      </c>
      <c r="V270" s="53" t="b">
        <f ca="1">IFERROR(__xludf.DUMMYFUNCTION("if($G270="""",false, if(isna(match(V$2, split($G270:$G383,"", "",False),0)),false,true))"),FALSE)</f>
        <v>0</v>
      </c>
      <c r="W270" s="57" t="b">
        <f ca="1">IFERROR(__xludf.DUMMYFUNCTION("if($G270="""",false, if(isna(match(W$2, split($G270:$G383,"", "",False),0)),false,true))"),FALSE)</f>
        <v>0</v>
      </c>
    </row>
    <row r="271" spans="1:23" ht="28">
      <c r="A271" s="47" t="s">
        <v>796</v>
      </c>
      <c r="B271" s="47" t="s">
        <v>65</v>
      </c>
      <c r="C271" s="49" t="s">
        <v>627</v>
      </c>
      <c r="D271" s="52" t="s">
        <v>756</v>
      </c>
      <c r="E271" s="49" t="s">
        <v>775</v>
      </c>
      <c r="F271" s="52" t="s">
        <v>797</v>
      </c>
      <c r="G271" s="59" t="s">
        <v>230</v>
      </c>
      <c r="H271" s="53" t="b">
        <f ca="1">IFERROR(__xludf.DUMMYFUNCTION("if($G271="""",false, if(isna(match(H$2, split($G271:$G383,"", "",False),0)),false,true))"),FALSE)</f>
        <v>0</v>
      </c>
      <c r="I271" s="53" t="b">
        <f ca="1">IFERROR(__xludf.DUMMYFUNCTION("if($G271="""",false, if(isna(match(I$2, split($G271:$G383,"", "",False),0)),false,true))"),FALSE)</f>
        <v>0</v>
      </c>
      <c r="J271" s="53" t="b">
        <f ca="1">IFERROR(__xludf.DUMMYFUNCTION("if($G271="""",false, if(isna(match(J$2, split($G271:$G383,"", "",False),0)),false,true))"),FALSE)</f>
        <v>0</v>
      </c>
      <c r="K271" s="53" t="b">
        <f ca="1">IFERROR(__xludf.DUMMYFUNCTION("if($G271="""",false, if(isna(match(K$2, split($G271:$G383,"", "",False),0)),false,true))"),FALSE)</f>
        <v>0</v>
      </c>
      <c r="L271" s="53" t="b">
        <f ca="1">IFERROR(__xludf.DUMMYFUNCTION("if($G271="""",false, if(isna(match(L$2, split($G271:$G383,"", "",False),0)),false,true))"),FALSE)</f>
        <v>0</v>
      </c>
      <c r="M271" s="53" t="b">
        <f ca="1">IFERROR(__xludf.DUMMYFUNCTION("if($G271="""",false, if(isna(match(M$2, split($G271:$G383,"", "",False),0)),false,true))"),FALSE)</f>
        <v>0</v>
      </c>
      <c r="N271" s="53" t="b">
        <f ca="1">IFERROR(__xludf.DUMMYFUNCTION("if($G271="""",false, if(isna(match(N$2, split($G271:$G383,"", "",False),0)),false,true))"),FALSE)</f>
        <v>0</v>
      </c>
      <c r="O271" s="53" t="b">
        <f ca="1">IFERROR(__xludf.DUMMYFUNCTION("if($G271="""",false, if(isna(match(O$2, split($G271:$G383,"", "",False),0)),false,true))"),FALSE)</f>
        <v>0</v>
      </c>
      <c r="P271" s="53" t="b">
        <f ca="1">IFERROR(__xludf.DUMMYFUNCTION("if($G271="""",false, if(isna(match(P$2, split($G271:$G383,"", "",False),0)),false,true))"),FALSE)</f>
        <v>0</v>
      </c>
      <c r="Q271" s="53" t="b">
        <f ca="1">IFERROR(__xludf.DUMMYFUNCTION("if($G271="""",false, if(isna(match(Q$2, split($G271:$G383,"", "",False),0)),false,true))"),FALSE)</f>
        <v>0</v>
      </c>
      <c r="R271" s="53" t="b">
        <f ca="1">IFERROR(__xludf.DUMMYFUNCTION("if($G271="""",false, if(isna(match(R$2, split($G271:$G383,"", "",False),0)),false,true))"),FALSE)</f>
        <v>0</v>
      </c>
      <c r="S271" s="53" t="b">
        <f ca="1">IFERROR(__xludf.DUMMYFUNCTION("if($G271="""",false, if(isna(match(S$2, split($G271:$G383,"", "",False),0)),false,true))"),FALSE)</f>
        <v>0</v>
      </c>
      <c r="T271" s="53" t="b">
        <f ca="1">IFERROR(__xludf.DUMMYFUNCTION("if($G271="""",false, if(isna(match(T$2, split($G271:$G383,"", "",False),0)),false,true))"),TRUE)</f>
        <v>1</v>
      </c>
      <c r="U271" s="53" t="b">
        <f ca="1">IFERROR(__xludf.DUMMYFUNCTION("if($G271="""",false, if(isna(match(U$2, split($G271:$G383,"", "",False),0)),false,true))"),FALSE)</f>
        <v>0</v>
      </c>
      <c r="V271" s="53" t="b">
        <f ca="1">IFERROR(__xludf.DUMMYFUNCTION("if($G271="""",false, if(isna(match(V$2, split($G271:$G383,"", "",False),0)),false,true))"),FALSE)</f>
        <v>0</v>
      </c>
      <c r="W271" s="57" t="b">
        <f ca="1">IFERROR(__xludf.DUMMYFUNCTION("if($G271="""",false, if(isna(match(W$2, split($G271:$G383,"", "",False),0)),false,true))"),FALSE)</f>
        <v>0</v>
      </c>
    </row>
    <row r="272" spans="1:23" ht="28">
      <c r="A272" s="47" t="s">
        <v>798</v>
      </c>
      <c r="B272" s="47" t="s">
        <v>65</v>
      </c>
      <c r="C272" s="49" t="s">
        <v>627</v>
      </c>
      <c r="D272" s="52" t="s">
        <v>756</v>
      </c>
      <c r="E272" s="49" t="s">
        <v>775</v>
      </c>
      <c r="F272" s="52" t="s">
        <v>799</v>
      </c>
      <c r="G272" s="59" t="s">
        <v>120</v>
      </c>
      <c r="H272" s="53" t="b">
        <f ca="1">IFERROR(__xludf.DUMMYFUNCTION("if($G272="""",false, if(isna(match(H$2, split($G272:$G383,"", "",False),0)),false,true))"),FALSE)</f>
        <v>0</v>
      </c>
      <c r="I272" s="53" t="b">
        <f ca="1">IFERROR(__xludf.DUMMYFUNCTION("if($G272="""",false, if(isna(match(I$2, split($G272:$G383,"", "",False),0)),false,true))"),FALSE)</f>
        <v>0</v>
      </c>
      <c r="J272" s="53" t="b">
        <f ca="1">IFERROR(__xludf.DUMMYFUNCTION("if($G272="""",false, if(isna(match(J$2, split($G272:$G383,"", "",False),0)),false,true))"),FALSE)</f>
        <v>0</v>
      </c>
      <c r="K272" s="53" t="b">
        <f ca="1">IFERROR(__xludf.DUMMYFUNCTION("if($G272="""",false, if(isna(match(K$2, split($G272:$G383,"", "",False),0)),false,true))"),FALSE)</f>
        <v>0</v>
      </c>
      <c r="L272" s="53" t="b">
        <f ca="1">IFERROR(__xludf.DUMMYFUNCTION("if($G272="""",false, if(isna(match(L$2, split($G272:$G383,"", "",False),0)),false,true))"),FALSE)</f>
        <v>0</v>
      </c>
      <c r="M272" s="53" t="b">
        <f ca="1">IFERROR(__xludf.DUMMYFUNCTION("if($G272="""",false, if(isna(match(M$2, split($G272:$G383,"", "",False),0)),false,true))"),FALSE)</f>
        <v>0</v>
      </c>
      <c r="N272" s="53" t="b">
        <f ca="1">IFERROR(__xludf.DUMMYFUNCTION("if($G272="""",false, if(isna(match(N$2, split($G272:$G383,"", "",False),0)),false,true))"),FALSE)</f>
        <v>0</v>
      </c>
      <c r="O272" s="53" t="b">
        <f ca="1">IFERROR(__xludf.DUMMYFUNCTION("if($G272="""",false, if(isna(match(O$2, split($G272:$G383,"", "",False),0)),false,true))"),FALSE)</f>
        <v>0</v>
      </c>
      <c r="P272" s="53" t="b">
        <f ca="1">IFERROR(__xludf.DUMMYFUNCTION("if($G272="""",false, if(isna(match(P$2, split($G272:$G383,"", "",False),0)),false,true))"),FALSE)</f>
        <v>0</v>
      </c>
      <c r="Q272" s="53" t="b">
        <f ca="1">IFERROR(__xludf.DUMMYFUNCTION("if($G272="""",false, if(isna(match(Q$2, split($G272:$G383,"", "",False),0)),false,true))"),FALSE)</f>
        <v>0</v>
      </c>
      <c r="R272" s="53" t="b">
        <f ca="1">IFERROR(__xludf.DUMMYFUNCTION("if($G272="""",false, if(isna(match(R$2, split($G272:$G383,"", "",False),0)),false,true))"),FALSE)</f>
        <v>0</v>
      </c>
      <c r="S272" s="53" t="b">
        <f ca="1">IFERROR(__xludf.DUMMYFUNCTION("if($G272="""",false, if(isna(match(S$2, split($G272:$G383,"", "",False),0)),false,true))"),FALSE)</f>
        <v>0</v>
      </c>
      <c r="T272" s="53" t="b">
        <f ca="1">IFERROR(__xludf.DUMMYFUNCTION("if($G272="""",false, if(isna(match(T$2, split($G272:$G383,"", "",False),0)),false,true))"),TRUE)</f>
        <v>1</v>
      </c>
      <c r="U272" s="53" t="b">
        <f ca="1">IFERROR(__xludf.DUMMYFUNCTION("if($G272="""",false, if(isna(match(U$2, split($G272:$G383,"", "",False),0)),false,true))"),FALSE)</f>
        <v>0</v>
      </c>
      <c r="V272" s="53" t="b">
        <f ca="1">IFERROR(__xludf.DUMMYFUNCTION("if($G272="""",false, if(isna(match(V$2, split($G272:$G383,"", "",False),0)),false,true))"),FALSE)</f>
        <v>0</v>
      </c>
      <c r="W272" s="57" t="b">
        <f ca="1">IFERROR(__xludf.DUMMYFUNCTION("if($G272="""",false, if(isna(match(W$2, split($G272:$G383,"", "",False),0)),false,true))"),FALSE)</f>
        <v>0</v>
      </c>
    </row>
    <row r="273" spans="1:23" ht="28">
      <c r="A273" s="47" t="s">
        <v>800</v>
      </c>
      <c r="B273" s="47" t="s">
        <v>65</v>
      </c>
      <c r="C273" s="49" t="s">
        <v>627</v>
      </c>
      <c r="D273" s="52" t="s">
        <v>756</v>
      </c>
      <c r="E273" s="49" t="s">
        <v>775</v>
      </c>
      <c r="F273" s="52" t="s">
        <v>801</v>
      </c>
      <c r="G273" s="59" t="s">
        <v>117</v>
      </c>
      <c r="H273" s="53" t="b">
        <f ca="1">IFERROR(__xludf.DUMMYFUNCTION("if($G273="""",false, if(isna(match(H$2, split($G273:$G383,"", "",False),0)),false,true))"),FALSE)</f>
        <v>0</v>
      </c>
      <c r="I273" s="53" t="b">
        <f ca="1">IFERROR(__xludf.DUMMYFUNCTION("if($G273="""",false, if(isna(match(I$2, split($G273:$G383,"", "",False),0)),false,true))"),FALSE)</f>
        <v>0</v>
      </c>
      <c r="J273" s="53" t="b">
        <f ca="1">IFERROR(__xludf.DUMMYFUNCTION("if($G273="""",false, if(isna(match(J$2, split($G273:$G383,"", "",False),0)),false,true))"),FALSE)</f>
        <v>0</v>
      </c>
      <c r="K273" s="53" t="b">
        <f ca="1">IFERROR(__xludf.DUMMYFUNCTION("if($G273="""",false, if(isna(match(K$2, split($G273:$G383,"", "",False),0)),false,true))"),FALSE)</f>
        <v>0</v>
      </c>
      <c r="L273" s="53" t="b">
        <f ca="1">IFERROR(__xludf.DUMMYFUNCTION("if($G273="""",false, if(isna(match(L$2, split($G273:$G383,"", "",False),0)),false,true))"),FALSE)</f>
        <v>0</v>
      </c>
      <c r="M273" s="53" t="b">
        <f ca="1">IFERROR(__xludf.DUMMYFUNCTION("if($G273="""",false, if(isna(match(M$2, split($G273:$G383,"", "",False),0)),false,true))"),FALSE)</f>
        <v>0</v>
      </c>
      <c r="N273" s="53" t="b">
        <f ca="1">IFERROR(__xludf.DUMMYFUNCTION("if($G273="""",false, if(isna(match(N$2, split($G273:$G383,"", "",False),0)),false,true))"),FALSE)</f>
        <v>0</v>
      </c>
      <c r="O273" s="53" t="b">
        <f ca="1">IFERROR(__xludf.DUMMYFUNCTION("if($G273="""",false, if(isna(match(O$2, split($G273:$G383,"", "",False),0)),false,true))"),FALSE)</f>
        <v>0</v>
      </c>
      <c r="P273" s="53" t="b">
        <f ca="1">IFERROR(__xludf.DUMMYFUNCTION("if($G273="""",false, if(isna(match(P$2, split($G273:$G383,"", "",False),0)),false,true))"),FALSE)</f>
        <v>0</v>
      </c>
      <c r="Q273" s="53" t="b">
        <f ca="1">IFERROR(__xludf.DUMMYFUNCTION("if($G273="""",false, if(isna(match(Q$2, split($G273:$G383,"", "",False),0)),false,true))"),TRUE)</f>
        <v>1</v>
      </c>
      <c r="R273" s="53" t="b">
        <f ca="1">IFERROR(__xludf.DUMMYFUNCTION("if($G273="""",false, if(isna(match(R$2, split($G273:$G383,"", "",False),0)),false,true))"),FALSE)</f>
        <v>0</v>
      </c>
      <c r="S273" s="53" t="b">
        <f ca="1">IFERROR(__xludf.DUMMYFUNCTION("if($G273="""",false, if(isna(match(S$2, split($G273:$G383,"", "",False),0)),false,true))"),FALSE)</f>
        <v>0</v>
      </c>
      <c r="T273" s="53" t="b">
        <f ca="1">IFERROR(__xludf.DUMMYFUNCTION("if($G273="""",false, if(isna(match(T$2, split($G273:$G383,"", "",False),0)),false,true))"),FALSE)</f>
        <v>0</v>
      </c>
      <c r="U273" s="53" t="b">
        <f ca="1">IFERROR(__xludf.DUMMYFUNCTION("if($G273="""",false, if(isna(match(U$2, split($G273:$G383,"", "",False),0)),false,true))"),FALSE)</f>
        <v>0</v>
      </c>
      <c r="V273" s="53" t="b">
        <f ca="1">IFERROR(__xludf.DUMMYFUNCTION("if($G273="""",false, if(isna(match(V$2, split($G273:$G383,"", "",False),0)),false,true))"),FALSE)</f>
        <v>0</v>
      </c>
      <c r="W273" s="57" t="b">
        <f ca="1">IFERROR(__xludf.DUMMYFUNCTION("if($G273="""",false, if(isna(match(W$2, split($G273:$G383,"", "",False),0)),false,true))"),FALSE)</f>
        <v>0</v>
      </c>
    </row>
    <row r="274" spans="1:23" ht="84">
      <c r="A274" s="47" t="s">
        <v>802</v>
      </c>
      <c r="B274" s="47" t="s">
        <v>65</v>
      </c>
      <c r="C274" s="49" t="s">
        <v>627</v>
      </c>
      <c r="D274" s="52" t="s">
        <v>756</v>
      </c>
      <c r="E274" s="49" t="s">
        <v>775</v>
      </c>
      <c r="F274" s="52" t="s">
        <v>803</v>
      </c>
      <c r="G274" s="59" t="s">
        <v>120</v>
      </c>
      <c r="H274" s="53" t="b">
        <f ca="1">IFERROR(__xludf.DUMMYFUNCTION("if($G274="""",false, if(isna(match(H$2, split($G274:$G383,"", "",False),0)),false,true))"),FALSE)</f>
        <v>0</v>
      </c>
      <c r="I274" s="53" t="b">
        <f ca="1">IFERROR(__xludf.DUMMYFUNCTION("if($G274="""",false, if(isna(match(I$2, split($G274:$G383,"", "",False),0)),false,true))"),FALSE)</f>
        <v>0</v>
      </c>
      <c r="J274" s="53" t="b">
        <f ca="1">IFERROR(__xludf.DUMMYFUNCTION("if($G274="""",false, if(isna(match(J$2, split($G274:$G383,"", "",False),0)),false,true))"),FALSE)</f>
        <v>0</v>
      </c>
      <c r="K274" s="53" t="b">
        <f ca="1">IFERROR(__xludf.DUMMYFUNCTION("if($G274="""",false, if(isna(match(K$2, split($G274:$G383,"", "",False),0)),false,true))"),FALSE)</f>
        <v>0</v>
      </c>
      <c r="L274" s="53" t="b">
        <f ca="1">IFERROR(__xludf.DUMMYFUNCTION("if($G274="""",false, if(isna(match(L$2, split($G274:$G383,"", "",False),0)),false,true))"),FALSE)</f>
        <v>0</v>
      </c>
      <c r="M274" s="53" t="b">
        <f ca="1">IFERROR(__xludf.DUMMYFUNCTION("if($G274="""",false, if(isna(match(M$2, split($G274:$G383,"", "",False),0)),false,true))"),FALSE)</f>
        <v>0</v>
      </c>
      <c r="N274" s="53" t="b">
        <f ca="1">IFERROR(__xludf.DUMMYFUNCTION("if($G274="""",false, if(isna(match(N$2, split($G274:$G383,"", "",False),0)),false,true))"),FALSE)</f>
        <v>0</v>
      </c>
      <c r="O274" s="53" t="b">
        <f ca="1">IFERROR(__xludf.DUMMYFUNCTION("if($G274="""",false, if(isna(match(O$2, split($G274:$G383,"", "",False),0)),false,true))"),FALSE)</f>
        <v>0</v>
      </c>
      <c r="P274" s="53" t="b">
        <f ca="1">IFERROR(__xludf.DUMMYFUNCTION("if($G274="""",false, if(isna(match(P$2, split($G274:$G383,"", "",False),0)),false,true))"),FALSE)</f>
        <v>0</v>
      </c>
      <c r="Q274" s="53" t="b">
        <f ca="1">IFERROR(__xludf.DUMMYFUNCTION("if($G274="""",false, if(isna(match(Q$2, split($G274:$G383,"", "",False),0)),false,true))"),FALSE)</f>
        <v>0</v>
      </c>
      <c r="R274" s="53" t="b">
        <f ca="1">IFERROR(__xludf.DUMMYFUNCTION("if($G274="""",false, if(isna(match(R$2, split($G274:$G383,"", "",False),0)),false,true))"),FALSE)</f>
        <v>0</v>
      </c>
      <c r="S274" s="53" t="b">
        <f ca="1">IFERROR(__xludf.DUMMYFUNCTION("if($G274="""",false, if(isna(match(S$2, split($G274:$G383,"", "",False),0)),false,true))"),FALSE)</f>
        <v>0</v>
      </c>
      <c r="T274" s="53" t="b">
        <f ca="1">IFERROR(__xludf.DUMMYFUNCTION("if($G274="""",false, if(isna(match(T$2, split($G274:$G383,"", "",False),0)),false,true))"),TRUE)</f>
        <v>1</v>
      </c>
      <c r="U274" s="53" t="b">
        <f ca="1">IFERROR(__xludf.DUMMYFUNCTION("if($G274="""",false, if(isna(match(U$2, split($G274:$G383,"", "",False),0)),false,true))"),FALSE)</f>
        <v>0</v>
      </c>
      <c r="V274" s="53" t="b">
        <f ca="1">IFERROR(__xludf.DUMMYFUNCTION("if($G274="""",false, if(isna(match(V$2, split($G274:$G383,"", "",False),0)),false,true))"),FALSE)</f>
        <v>0</v>
      </c>
      <c r="W274" s="57" t="b">
        <f ca="1">IFERROR(__xludf.DUMMYFUNCTION("if($G274="""",false, if(isna(match(W$2, split($G274:$G383,"", "",False),0)),false,true))"),FALSE)</f>
        <v>0</v>
      </c>
    </row>
    <row r="275" spans="1:23" ht="28">
      <c r="A275" s="47" t="s">
        <v>804</v>
      </c>
      <c r="B275" s="47" t="s">
        <v>65</v>
      </c>
      <c r="C275" s="49" t="s">
        <v>627</v>
      </c>
      <c r="D275" s="52" t="s">
        <v>756</v>
      </c>
      <c r="E275" s="49" t="s">
        <v>775</v>
      </c>
      <c r="F275" s="52" t="s">
        <v>805</v>
      </c>
      <c r="G275" s="59" t="s">
        <v>118</v>
      </c>
      <c r="H275" s="53" t="b">
        <f ca="1">IFERROR(__xludf.DUMMYFUNCTION("if($G275="""",false, if(isna(match(H$2, split($G275:$G383,"", "",False),0)),false,true))"),FALSE)</f>
        <v>0</v>
      </c>
      <c r="I275" s="53" t="b">
        <f ca="1">IFERROR(__xludf.DUMMYFUNCTION("if($G275="""",false, if(isna(match(I$2, split($G275:$G383,"", "",False),0)),false,true))"),FALSE)</f>
        <v>0</v>
      </c>
      <c r="J275" s="53" t="b">
        <f ca="1">IFERROR(__xludf.DUMMYFUNCTION("if($G275="""",false, if(isna(match(J$2, split($G275:$G383,"", "",False),0)),false,true))"),FALSE)</f>
        <v>0</v>
      </c>
      <c r="K275" s="53" t="b">
        <f ca="1">IFERROR(__xludf.DUMMYFUNCTION("if($G275="""",false, if(isna(match(K$2, split($G275:$G383,"", "",False),0)),false,true))"),FALSE)</f>
        <v>0</v>
      </c>
      <c r="L275" s="53" t="b">
        <f ca="1">IFERROR(__xludf.DUMMYFUNCTION("if($G275="""",false, if(isna(match(L$2, split($G275:$G383,"", "",False),0)),false,true))"),FALSE)</f>
        <v>0</v>
      </c>
      <c r="M275" s="53" t="b">
        <f ca="1">IFERROR(__xludf.DUMMYFUNCTION("if($G275="""",false, if(isna(match(M$2, split($G275:$G383,"", "",False),0)),false,true))"),FALSE)</f>
        <v>0</v>
      </c>
      <c r="N275" s="53" t="b">
        <f ca="1">IFERROR(__xludf.DUMMYFUNCTION("if($G275="""",false, if(isna(match(N$2, split($G275:$G383,"", "",False),0)),false,true))"),FALSE)</f>
        <v>0</v>
      </c>
      <c r="O275" s="53" t="b">
        <f ca="1">IFERROR(__xludf.DUMMYFUNCTION("if($G275="""",false, if(isna(match(O$2, split($G275:$G383,"", "",False),0)),false,true))"),FALSE)</f>
        <v>0</v>
      </c>
      <c r="P275" s="53" t="b">
        <f ca="1">IFERROR(__xludf.DUMMYFUNCTION("if($G275="""",false, if(isna(match(P$2, split($G275:$G383,"", "",False),0)),false,true))"),FALSE)</f>
        <v>0</v>
      </c>
      <c r="Q275" s="53" t="b">
        <f ca="1">IFERROR(__xludf.DUMMYFUNCTION("if($G275="""",false, if(isna(match(Q$2, split($G275:$G383,"", "",False),0)),false,true))"),FALSE)</f>
        <v>0</v>
      </c>
      <c r="R275" s="53" t="b">
        <f ca="1">IFERROR(__xludf.DUMMYFUNCTION("if($G275="""",false, if(isna(match(R$2, split($G275:$G383,"", "",False),0)),false,true))"),TRUE)</f>
        <v>1</v>
      </c>
      <c r="S275" s="53" t="b">
        <f ca="1">IFERROR(__xludf.DUMMYFUNCTION("if($G275="""",false, if(isna(match(S$2, split($G275:$G383,"", "",False),0)),false,true))"),FALSE)</f>
        <v>0</v>
      </c>
      <c r="T275" s="53" t="b">
        <f ca="1">IFERROR(__xludf.DUMMYFUNCTION("if($G275="""",false, if(isna(match(T$2, split($G275:$G383,"", "",False),0)),false,true))"),FALSE)</f>
        <v>0</v>
      </c>
      <c r="U275" s="53" t="b">
        <f ca="1">IFERROR(__xludf.DUMMYFUNCTION("if($G275="""",false, if(isna(match(U$2, split($G275:$G383,"", "",False),0)),false,true))"),FALSE)</f>
        <v>0</v>
      </c>
      <c r="V275" s="53" t="b">
        <f ca="1">IFERROR(__xludf.DUMMYFUNCTION("if($G275="""",false, if(isna(match(V$2, split($G275:$G383,"", "",False),0)),false,true))"),FALSE)</f>
        <v>0</v>
      </c>
      <c r="W275" s="57" t="b">
        <f ca="1">IFERROR(__xludf.DUMMYFUNCTION("if($G275="""",false, if(isna(match(W$2, split($G275:$G383,"", "",False),0)),false,true))"),FALSE)</f>
        <v>0</v>
      </c>
    </row>
    <row r="276" spans="1:23" ht="28">
      <c r="A276" s="47" t="s">
        <v>806</v>
      </c>
      <c r="B276" s="47" t="s">
        <v>65</v>
      </c>
      <c r="C276" s="49" t="s">
        <v>627</v>
      </c>
      <c r="D276" s="52" t="s">
        <v>756</v>
      </c>
      <c r="E276" s="49" t="s">
        <v>775</v>
      </c>
      <c r="F276" s="52" t="s">
        <v>807</v>
      </c>
      <c r="G276" s="59" t="s">
        <v>197</v>
      </c>
      <c r="H276" s="53" t="b">
        <f ca="1">IFERROR(__xludf.DUMMYFUNCTION("if($G276="""",false, if(isna(match(H$2, split($G276:$G383,"", "",False),0)),false,true))"),FALSE)</f>
        <v>0</v>
      </c>
      <c r="I276" s="53" t="b">
        <f ca="1">IFERROR(__xludf.DUMMYFUNCTION("if($G276="""",false, if(isna(match(I$2, split($G276:$G383,"", "",False),0)),false,true))"),FALSE)</f>
        <v>0</v>
      </c>
      <c r="J276" s="53" t="b">
        <f ca="1">IFERROR(__xludf.DUMMYFUNCTION("if($G276="""",false, if(isna(match(J$2, split($G276:$G383,"", "",False),0)),false,true))"),FALSE)</f>
        <v>0</v>
      </c>
      <c r="K276" s="53" t="b">
        <f ca="1">IFERROR(__xludf.DUMMYFUNCTION("if($G276="""",false, if(isna(match(K$2, split($G276:$G383,"", "",False),0)),false,true))"),FALSE)</f>
        <v>0</v>
      </c>
      <c r="L276" s="53" t="b">
        <f ca="1">IFERROR(__xludf.DUMMYFUNCTION("if($G276="""",false, if(isna(match(L$2, split($G276:$G383,"", "",False),0)),false,true))"),FALSE)</f>
        <v>0</v>
      </c>
      <c r="M276" s="53" t="b">
        <f ca="1">IFERROR(__xludf.DUMMYFUNCTION("if($G276="""",false, if(isna(match(M$2, split($G276:$G383,"", "",False),0)),false,true))"),FALSE)</f>
        <v>0</v>
      </c>
      <c r="N276" s="53" t="b">
        <f ca="1">IFERROR(__xludf.DUMMYFUNCTION("if($G276="""",false, if(isna(match(N$2, split($G276:$G383,"", "",False),0)),false,true))"),FALSE)</f>
        <v>0</v>
      </c>
      <c r="O276" s="53" t="b">
        <f ca="1">IFERROR(__xludf.DUMMYFUNCTION("if($G276="""",false, if(isna(match(O$2, split($G276:$G383,"", "",False),0)),false,true))"),FALSE)</f>
        <v>0</v>
      </c>
      <c r="P276" s="53" t="b">
        <f ca="1">IFERROR(__xludf.DUMMYFUNCTION("if($G276="""",false, if(isna(match(P$2, split($G276:$G383,"", "",False),0)),false,true))"),FALSE)</f>
        <v>0</v>
      </c>
      <c r="Q276" s="53" t="b">
        <f ca="1">IFERROR(__xludf.DUMMYFUNCTION("if($G276="""",false, if(isna(match(Q$2, split($G276:$G383,"", "",False),0)),false,true))"),FALSE)</f>
        <v>0</v>
      </c>
      <c r="R276" s="53" t="b">
        <f ca="1">IFERROR(__xludf.DUMMYFUNCTION("if($G276="""",false, if(isna(match(R$2, split($G276:$G383,"", "",False),0)),false,true))"),FALSE)</f>
        <v>0</v>
      </c>
      <c r="S276" s="53" t="b">
        <f ca="1">IFERROR(__xludf.DUMMYFUNCTION("if($G276="""",false, if(isna(match(S$2, split($G276:$G383,"", "",False),0)),false,true))"),FALSE)</f>
        <v>0</v>
      </c>
      <c r="T276" s="53" t="b">
        <f ca="1">IFERROR(__xludf.DUMMYFUNCTION("if($G276="""",false, if(isna(match(T$2, split($G276:$G383,"", "",False),0)),false,true))"),FALSE)</f>
        <v>0</v>
      </c>
      <c r="U276" s="53" t="b">
        <f ca="1">IFERROR(__xludf.DUMMYFUNCTION("if($G276="""",false, if(isna(match(U$2, split($G276:$G383,"", "",False),0)),false,true))"),FALSE)</f>
        <v>0</v>
      </c>
      <c r="V276" s="53" t="b">
        <f ca="1">IFERROR(__xludf.DUMMYFUNCTION("if($G276="""",false, if(isna(match(V$2, split($G276:$G383,"", "",False),0)),false,true))"),FALSE)</f>
        <v>0</v>
      </c>
      <c r="W276" s="57" t="b">
        <f ca="1">IFERROR(__xludf.DUMMYFUNCTION("if($G276="""",false, if(isna(match(W$2, split($G276:$G383,"", "",False),0)),false,true))"),FALSE)</f>
        <v>0</v>
      </c>
    </row>
    <row r="277" spans="1:23" ht="28">
      <c r="A277" s="47" t="s">
        <v>808</v>
      </c>
      <c r="B277" s="47" t="s">
        <v>65</v>
      </c>
      <c r="C277" s="49" t="s">
        <v>627</v>
      </c>
      <c r="D277" s="52" t="s">
        <v>756</v>
      </c>
      <c r="E277" s="49" t="s">
        <v>775</v>
      </c>
      <c r="F277" s="52" t="s">
        <v>809</v>
      </c>
      <c r="G277" s="59" t="s">
        <v>810</v>
      </c>
      <c r="H277" s="53" t="b">
        <f ca="1">IFERROR(__xludf.DUMMYFUNCTION("if($G277="""",false, if(isna(match(H$2, split($G277:$G383,"", "",False),0)),false,true))"),FALSE)</f>
        <v>0</v>
      </c>
      <c r="I277" s="53" t="b">
        <f ca="1">IFERROR(__xludf.DUMMYFUNCTION("if($G277="""",false, if(isna(match(I$2, split($G277:$G383,"", "",False),0)),false,true))"),FALSE)</f>
        <v>0</v>
      </c>
      <c r="J277" s="53" t="b">
        <f ca="1">IFERROR(__xludf.DUMMYFUNCTION("if($G277="""",false, if(isna(match(J$2, split($G277:$G383,"", "",False),0)),false,true))"),FALSE)</f>
        <v>0</v>
      </c>
      <c r="K277" s="53" t="b">
        <f ca="1">IFERROR(__xludf.DUMMYFUNCTION("if($G277="""",false, if(isna(match(K$2, split($G277:$G383,"", "",False),0)),false,true))"),FALSE)</f>
        <v>0</v>
      </c>
      <c r="L277" s="53" t="b">
        <f ca="1">IFERROR(__xludf.DUMMYFUNCTION("if($G277="""",false, if(isna(match(L$2, split($G277:$G383,"", "",False),0)),false,true))"),FALSE)</f>
        <v>0</v>
      </c>
      <c r="M277" s="53" t="b">
        <f ca="1">IFERROR(__xludf.DUMMYFUNCTION("if($G277="""",false, if(isna(match(M$2, split($G277:$G383,"", "",False),0)),false,true))"),FALSE)</f>
        <v>0</v>
      </c>
      <c r="N277" s="53" t="b">
        <f ca="1">IFERROR(__xludf.DUMMYFUNCTION("if($G277="""",false, if(isna(match(N$2, split($G277:$G383,"", "",False),0)),false,true))"),FALSE)</f>
        <v>0</v>
      </c>
      <c r="O277" s="53" t="b">
        <f ca="1">IFERROR(__xludf.DUMMYFUNCTION("if($G277="""",false, if(isna(match(O$2, split($G277:$G383,"", "",False),0)),false,true))"),FALSE)</f>
        <v>0</v>
      </c>
      <c r="P277" s="53" t="b">
        <f ca="1">IFERROR(__xludf.DUMMYFUNCTION("if($G277="""",false, if(isna(match(P$2, split($G277:$G383,"", "",False),0)),false,true))"),TRUE)</f>
        <v>1</v>
      </c>
      <c r="Q277" s="53" t="b">
        <f ca="1">IFERROR(__xludf.DUMMYFUNCTION("if($G277="""",false, if(isna(match(Q$2, split($G277:$G383,"", "",False),0)),false,true))"),FALSE)</f>
        <v>0</v>
      </c>
      <c r="R277" s="53" t="b">
        <f ca="1">IFERROR(__xludf.DUMMYFUNCTION("if($G277="""",false, if(isna(match(R$2, split($G277:$G383,"", "",False),0)),false,true))"),FALSE)</f>
        <v>0</v>
      </c>
      <c r="S277" s="53" t="b">
        <f ca="1">IFERROR(__xludf.DUMMYFUNCTION("if($G277="""",false, if(isna(match(S$2, split($G277:$G383,"", "",False),0)),false,true))"),FALSE)</f>
        <v>0</v>
      </c>
      <c r="T277" s="53" t="b">
        <f ca="1">IFERROR(__xludf.DUMMYFUNCTION("if($G277="""",false, if(isna(match(T$2, split($G277:$G383,"", "",False),0)),false,true))"),FALSE)</f>
        <v>0</v>
      </c>
      <c r="U277" s="53" t="b">
        <f ca="1">IFERROR(__xludf.DUMMYFUNCTION("if($G277="""",false, if(isna(match(U$2, split($G277:$G383,"", "",False),0)),false,true))"),FALSE)</f>
        <v>0</v>
      </c>
      <c r="V277" s="53" t="b">
        <f ca="1">IFERROR(__xludf.DUMMYFUNCTION("if($G277="""",false, if(isna(match(V$2, split($G277:$G383,"", "",False),0)),false,true))"),FALSE)</f>
        <v>0</v>
      </c>
      <c r="W277" s="57" t="b">
        <f ca="1">IFERROR(__xludf.DUMMYFUNCTION("if($G277="""",false, if(isna(match(W$2, split($G277:$G383,"", "",False),0)),false,true))"),FALSE)</f>
        <v>0</v>
      </c>
    </row>
    <row r="278" spans="1:23" ht="42">
      <c r="A278" s="47" t="s">
        <v>811</v>
      </c>
      <c r="B278" s="47" t="s">
        <v>65</v>
      </c>
      <c r="C278" s="49" t="s">
        <v>627</v>
      </c>
      <c r="D278" s="52" t="s">
        <v>756</v>
      </c>
      <c r="E278" s="49" t="s">
        <v>775</v>
      </c>
      <c r="F278" s="52" t="s">
        <v>812</v>
      </c>
      <c r="G278" s="59" t="s">
        <v>197</v>
      </c>
      <c r="H278" s="53" t="b">
        <f ca="1">IFERROR(__xludf.DUMMYFUNCTION("if($G278="""",false, if(isna(match(H$2, split($G278:$G383,"", "",False),0)),false,true))"),FALSE)</f>
        <v>0</v>
      </c>
      <c r="I278" s="53" t="b">
        <f ca="1">IFERROR(__xludf.DUMMYFUNCTION("if($G278="""",false, if(isna(match(I$2, split($G278:$G383,"", "",False),0)),false,true))"),FALSE)</f>
        <v>0</v>
      </c>
      <c r="J278" s="53" t="b">
        <f ca="1">IFERROR(__xludf.DUMMYFUNCTION("if($G278="""",false, if(isna(match(J$2, split($G278:$G383,"", "",False),0)),false,true))"),FALSE)</f>
        <v>0</v>
      </c>
      <c r="K278" s="53" t="b">
        <f ca="1">IFERROR(__xludf.DUMMYFUNCTION("if($G278="""",false, if(isna(match(K$2, split($G278:$G383,"", "",False),0)),false,true))"),FALSE)</f>
        <v>0</v>
      </c>
      <c r="L278" s="53" t="b">
        <f ca="1">IFERROR(__xludf.DUMMYFUNCTION("if($G278="""",false, if(isna(match(L$2, split($G278:$G383,"", "",False),0)),false,true))"),FALSE)</f>
        <v>0</v>
      </c>
      <c r="M278" s="53" t="b">
        <f ca="1">IFERROR(__xludf.DUMMYFUNCTION("if($G278="""",false, if(isna(match(M$2, split($G278:$G383,"", "",False),0)),false,true))"),FALSE)</f>
        <v>0</v>
      </c>
      <c r="N278" s="53" t="b">
        <f ca="1">IFERROR(__xludf.DUMMYFUNCTION("if($G278="""",false, if(isna(match(N$2, split($G278:$G383,"", "",False),0)),false,true))"),FALSE)</f>
        <v>0</v>
      </c>
      <c r="O278" s="53" t="b">
        <f ca="1">IFERROR(__xludf.DUMMYFUNCTION("if($G278="""",false, if(isna(match(O$2, split($G278:$G383,"", "",False),0)),false,true))"),FALSE)</f>
        <v>0</v>
      </c>
      <c r="P278" s="53" t="b">
        <f ca="1">IFERROR(__xludf.DUMMYFUNCTION("if($G278="""",false, if(isna(match(P$2, split($G278:$G383,"", "",False),0)),false,true))"),FALSE)</f>
        <v>0</v>
      </c>
      <c r="Q278" s="53" t="b">
        <f ca="1">IFERROR(__xludf.DUMMYFUNCTION("if($G278="""",false, if(isna(match(Q$2, split($G278:$G383,"", "",False),0)),false,true))"),FALSE)</f>
        <v>0</v>
      </c>
      <c r="R278" s="53" t="b">
        <f ca="1">IFERROR(__xludf.DUMMYFUNCTION("if($G278="""",false, if(isna(match(R$2, split($G278:$G383,"", "",False),0)),false,true))"),FALSE)</f>
        <v>0</v>
      </c>
      <c r="S278" s="53" t="b">
        <f ca="1">IFERROR(__xludf.DUMMYFUNCTION("if($G278="""",false, if(isna(match(S$2, split($G278:$G383,"", "",False),0)),false,true))"),FALSE)</f>
        <v>0</v>
      </c>
      <c r="T278" s="53" t="b">
        <f ca="1">IFERROR(__xludf.DUMMYFUNCTION("if($G278="""",false, if(isna(match(T$2, split($G278:$G383,"", "",False),0)),false,true))"),FALSE)</f>
        <v>0</v>
      </c>
      <c r="U278" s="53" t="b">
        <f ca="1">IFERROR(__xludf.DUMMYFUNCTION("if($G278="""",false, if(isna(match(U$2, split($G278:$G383,"", "",False),0)),false,true))"),FALSE)</f>
        <v>0</v>
      </c>
      <c r="V278" s="53" t="b">
        <f ca="1">IFERROR(__xludf.DUMMYFUNCTION("if($G278="""",false, if(isna(match(V$2, split($G278:$G383,"", "",False),0)),false,true))"),FALSE)</f>
        <v>0</v>
      </c>
      <c r="W278" s="57" t="b">
        <f ca="1">IFERROR(__xludf.DUMMYFUNCTION("if($G278="""",false, if(isna(match(W$2, split($G278:$G383,"", "",False),0)),false,true))"),FALSE)</f>
        <v>0</v>
      </c>
    </row>
    <row r="279" spans="1:23" ht="28">
      <c r="A279" s="47" t="s">
        <v>813</v>
      </c>
      <c r="B279" s="47" t="s">
        <v>65</v>
      </c>
      <c r="C279" s="49" t="s">
        <v>627</v>
      </c>
      <c r="D279" s="52" t="s">
        <v>756</v>
      </c>
      <c r="E279" s="49" t="s">
        <v>775</v>
      </c>
      <c r="F279" s="52" t="s">
        <v>814</v>
      </c>
      <c r="G279" s="59" t="s">
        <v>119</v>
      </c>
      <c r="H279" s="53" t="b">
        <f ca="1">IFERROR(__xludf.DUMMYFUNCTION("if($G279="""",false, if(isna(match(H$2, split($G279:$G383,"", "",False),0)),false,true))"),FALSE)</f>
        <v>0</v>
      </c>
      <c r="I279" s="53" t="b">
        <f ca="1">IFERROR(__xludf.DUMMYFUNCTION("if($G279="""",false, if(isna(match(I$2, split($G279:$G383,"", "",False),0)),false,true))"),FALSE)</f>
        <v>0</v>
      </c>
      <c r="J279" s="53" t="b">
        <f ca="1">IFERROR(__xludf.DUMMYFUNCTION("if($G279="""",false, if(isna(match(J$2, split($G279:$G383,"", "",False),0)),false,true))"),FALSE)</f>
        <v>0</v>
      </c>
      <c r="K279" s="53" t="b">
        <f ca="1">IFERROR(__xludf.DUMMYFUNCTION("if($G279="""",false, if(isna(match(K$2, split($G279:$G383,"", "",False),0)),false,true))"),FALSE)</f>
        <v>0</v>
      </c>
      <c r="L279" s="53" t="b">
        <f ca="1">IFERROR(__xludf.DUMMYFUNCTION("if($G279="""",false, if(isna(match(L$2, split($G279:$G383,"", "",False),0)),false,true))"),FALSE)</f>
        <v>0</v>
      </c>
      <c r="M279" s="53" t="b">
        <f ca="1">IFERROR(__xludf.DUMMYFUNCTION("if($G279="""",false, if(isna(match(M$2, split($G279:$G383,"", "",False),0)),false,true))"),FALSE)</f>
        <v>0</v>
      </c>
      <c r="N279" s="53" t="b">
        <f ca="1">IFERROR(__xludf.DUMMYFUNCTION("if($G279="""",false, if(isna(match(N$2, split($G279:$G383,"", "",False),0)),false,true))"),FALSE)</f>
        <v>0</v>
      </c>
      <c r="O279" s="53" t="b">
        <f ca="1">IFERROR(__xludf.DUMMYFUNCTION("if($G279="""",false, if(isna(match(O$2, split($G279:$G383,"", "",False),0)),false,true))"),FALSE)</f>
        <v>0</v>
      </c>
      <c r="P279" s="53" t="b">
        <f ca="1">IFERROR(__xludf.DUMMYFUNCTION("if($G279="""",false, if(isna(match(P$2, split($G279:$G383,"", "",False),0)),false,true))"),FALSE)</f>
        <v>0</v>
      </c>
      <c r="Q279" s="53" t="b">
        <f ca="1">IFERROR(__xludf.DUMMYFUNCTION("if($G279="""",false, if(isna(match(Q$2, split($G279:$G383,"", "",False),0)),false,true))"),FALSE)</f>
        <v>0</v>
      </c>
      <c r="R279" s="53" t="b">
        <f ca="1">IFERROR(__xludf.DUMMYFUNCTION("if($G279="""",false, if(isna(match(R$2, split($G279:$G383,"", "",False),0)),false,true))"),FALSE)</f>
        <v>0</v>
      </c>
      <c r="S279" s="53" t="b">
        <f ca="1">IFERROR(__xludf.DUMMYFUNCTION("if($G279="""",false, if(isna(match(S$2, split($G279:$G383,"", "",False),0)),false,true))"),TRUE)</f>
        <v>1</v>
      </c>
      <c r="T279" s="53" t="b">
        <f ca="1">IFERROR(__xludf.DUMMYFUNCTION("if($G279="""",false, if(isna(match(T$2, split($G279:$G383,"", "",False),0)),false,true))"),FALSE)</f>
        <v>0</v>
      </c>
      <c r="U279" s="53" t="b">
        <f ca="1">IFERROR(__xludf.DUMMYFUNCTION("if($G279="""",false, if(isna(match(U$2, split($G279:$G383,"", "",False),0)),false,true))"),FALSE)</f>
        <v>0</v>
      </c>
      <c r="V279" s="53" t="b">
        <f ca="1">IFERROR(__xludf.DUMMYFUNCTION("if($G279="""",false, if(isna(match(V$2, split($G279:$G383,"", "",False),0)),false,true))"),FALSE)</f>
        <v>0</v>
      </c>
      <c r="W279" s="57" t="b">
        <f ca="1">IFERROR(__xludf.DUMMYFUNCTION("if($G279="""",false, if(isna(match(W$2, split($G279:$G383,"", "",False),0)),false,true))"),FALSE)</f>
        <v>0</v>
      </c>
    </row>
    <row r="280" spans="1:23" ht="28">
      <c r="A280" s="47" t="s">
        <v>815</v>
      </c>
      <c r="B280" s="47" t="s">
        <v>65</v>
      </c>
      <c r="C280" s="49" t="s">
        <v>627</v>
      </c>
      <c r="D280" s="52" t="s">
        <v>756</v>
      </c>
      <c r="E280" s="49" t="s">
        <v>775</v>
      </c>
      <c r="F280" s="52" t="s">
        <v>816</v>
      </c>
      <c r="G280" s="59" t="s">
        <v>197</v>
      </c>
      <c r="H280" s="53" t="b">
        <f ca="1">IFERROR(__xludf.DUMMYFUNCTION("if($G280="""",false, if(isna(match(H$2, split($G280:$G383,"", "",False),0)),false,true))"),FALSE)</f>
        <v>0</v>
      </c>
      <c r="I280" s="53" t="b">
        <f ca="1">IFERROR(__xludf.DUMMYFUNCTION("if($G280="""",false, if(isna(match(I$2, split($G280:$G383,"", "",False),0)),false,true))"),FALSE)</f>
        <v>0</v>
      </c>
      <c r="J280" s="53" t="b">
        <f ca="1">IFERROR(__xludf.DUMMYFUNCTION("if($G280="""",false, if(isna(match(J$2, split($G280:$G383,"", "",False),0)),false,true))"),FALSE)</f>
        <v>0</v>
      </c>
      <c r="K280" s="53" t="b">
        <f ca="1">IFERROR(__xludf.DUMMYFUNCTION("if($G280="""",false, if(isna(match(K$2, split($G280:$G383,"", "",False),0)),false,true))"),FALSE)</f>
        <v>0</v>
      </c>
      <c r="L280" s="53" t="b">
        <f ca="1">IFERROR(__xludf.DUMMYFUNCTION("if($G280="""",false, if(isna(match(L$2, split($G280:$G383,"", "",False),0)),false,true))"),FALSE)</f>
        <v>0</v>
      </c>
      <c r="M280" s="53" t="b">
        <f ca="1">IFERROR(__xludf.DUMMYFUNCTION("if($G280="""",false, if(isna(match(M$2, split($G280:$G383,"", "",False),0)),false,true))"),FALSE)</f>
        <v>0</v>
      </c>
      <c r="N280" s="53" t="b">
        <f ca="1">IFERROR(__xludf.DUMMYFUNCTION("if($G280="""",false, if(isna(match(N$2, split($G280:$G383,"", "",False),0)),false,true))"),FALSE)</f>
        <v>0</v>
      </c>
      <c r="O280" s="53" t="b">
        <f ca="1">IFERROR(__xludf.DUMMYFUNCTION("if($G280="""",false, if(isna(match(O$2, split($G280:$G383,"", "",False),0)),false,true))"),FALSE)</f>
        <v>0</v>
      </c>
      <c r="P280" s="53" t="b">
        <f ca="1">IFERROR(__xludf.DUMMYFUNCTION("if($G280="""",false, if(isna(match(P$2, split($G280:$G383,"", "",False),0)),false,true))"),FALSE)</f>
        <v>0</v>
      </c>
      <c r="Q280" s="53" t="b">
        <f ca="1">IFERROR(__xludf.DUMMYFUNCTION("if($G280="""",false, if(isna(match(Q$2, split($G280:$G383,"", "",False),0)),false,true))"),FALSE)</f>
        <v>0</v>
      </c>
      <c r="R280" s="53" t="b">
        <f ca="1">IFERROR(__xludf.DUMMYFUNCTION("if($G280="""",false, if(isna(match(R$2, split($G280:$G383,"", "",False),0)),false,true))"),FALSE)</f>
        <v>0</v>
      </c>
      <c r="S280" s="53" t="b">
        <f ca="1">IFERROR(__xludf.DUMMYFUNCTION("if($G280="""",false, if(isna(match(S$2, split($G280:$G383,"", "",False),0)),false,true))"),FALSE)</f>
        <v>0</v>
      </c>
      <c r="T280" s="53" t="b">
        <f ca="1">IFERROR(__xludf.DUMMYFUNCTION("if($G280="""",false, if(isna(match(T$2, split($G280:$G383,"", "",False),0)),false,true))"),FALSE)</f>
        <v>0</v>
      </c>
      <c r="U280" s="53" t="b">
        <f ca="1">IFERROR(__xludf.DUMMYFUNCTION("if($G280="""",false, if(isna(match(U$2, split($G280:$G383,"", "",False),0)),false,true))"),FALSE)</f>
        <v>0</v>
      </c>
      <c r="V280" s="53" t="b">
        <f ca="1">IFERROR(__xludf.DUMMYFUNCTION("if($G280="""",false, if(isna(match(V$2, split($G280:$G383,"", "",False),0)),false,true))"),FALSE)</f>
        <v>0</v>
      </c>
      <c r="W280" s="57" t="b">
        <f ca="1">IFERROR(__xludf.DUMMYFUNCTION("if($G280="""",false, if(isna(match(W$2, split($G280:$G383,"", "",False),0)),false,true))"),FALSE)</f>
        <v>0</v>
      </c>
    </row>
    <row r="281" spans="1:23" ht="28">
      <c r="A281" s="47" t="s">
        <v>817</v>
      </c>
      <c r="B281" s="47" t="s">
        <v>65</v>
      </c>
      <c r="C281" s="49" t="s">
        <v>627</v>
      </c>
      <c r="D281" s="52" t="s">
        <v>756</v>
      </c>
      <c r="E281" s="49" t="s">
        <v>775</v>
      </c>
      <c r="F281" s="52" t="s">
        <v>818</v>
      </c>
      <c r="G281" s="59" t="s">
        <v>197</v>
      </c>
      <c r="H281" s="53" t="b">
        <f ca="1">IFERROR(__xludf.DUMMYFUNCTION("if($G281="""",false, if(isna(match(H$2, split($G281:$G383,"", "",False),0)),false,true))"),FALSE)</f>
        <v>0</v>
      </c>
      <c r="I281" s="53" t="b">
        <f ca="1">IFERROR(__xludf.DUMMYFUNCTION("if($G281="""",false, if(isna(match(I$2, split($G281:$G383,"", "",False),0)),false,true))"),FALSE)</f>
        <v>0</v>
      </c>
      <c r="J281" s="53" t="b">
        <f ca="1">IFERROR(__xludf.DUMMYFUNCTION("if($G281="""",false, if(isna(match(J$2, split($G281:$G383,"", "",False),0)),false,true))"),FALSE)</f>
        <v>0</v>
      </c>
      <c r="K281" s="53" t="b">
        <f ca="1">IFERROR(__xludf.DUMMYFUNCTION("if($G281="""",false, if(isna(match(K$2, split($G281:$G383,"", "",False),0)),false,true))"),FALSE)</f>
        <v>0</v>
      </c>
      <c r="L281" s="53" t="b">
        <f ca="1">IFERROR(__xludf.DUMMYFUNCTION("if($G281="""",false, if(isna(match(L$2, split($G281:$G383,"", "",False),0)),false,true))"),FALSE)</f>
        <v>0</v>
      </c>
      <c r="M281" s="53" t="b">
        <f ca="1">IFERROR(__xludf.DUMMYFUNCTION("if($G281="""",false, if(isna(match(M$2, split($G281:$G383,"", "",False),0)),false,true))"),FALSE)</f>
        <v>0</v>
      </c>
      <c r="N281" s="53" t="b">
        <f ca="1">IFERROR(__xludf.DUMMYFUNCTION("if($G281="""",false, if(isna(match(N$2, split($G281:$G383,"", "",False),0)),false,true))"),FALSE)</f>
        <v>0</v>
      </c>
      <c r="O281" s="53" t="b">
        <f ca="1">IFERROR(__xludf.DUMMYFUNCTION("if($G281="""",false, if(isna(match(O$2, split($G281:$G383,"", "",False),0)),false,true))"),FALSE)</f>
        <v>0</v>
      </c>
      <c r="P281" s="53" t="b">
        <f ca="1">IFERROR(__xludf.DUMMYFUNCTION("if($G281="""",false, if(isna(match(P$2, split($G281:$G383,"", "",False),0)),false,true))"),FALSE)</f>
        <v>0</v>
      </c>
      <c r="Q281" s="53" t="b">
        <f ca="1">IFERROR(__xludf.DUMMYFUNCTION("if($G281="""",false, if(isna(match(Q$2, split($G281:$G383,"", "",False),0)),false,true))"),FALSE)</f>
        <v>0</v>
      </c>
      <c r="R281" s="53" t="b">
        <f ca="1">IFERROR(__xludf.DUMMYFUNCTION("if($G281="""",false, if(isna(match(R$2, split($G281:$G383,"", "",False),0)),false,true))"),FALSE)</f>
        <v>0</v>
      </c>
      <c r="S281" s="53" t="b">
        <f ca="1">IFERROR(__xludf.DUMMYFUNCTION("if($G281="""",false, if(isna(match(S$2, split($G281:$G383,"", "",False),0)),false,true))"),FALSE)</f>
        <v>0</v>
      </c>
      <c r="T281" s="53" t="b">
        <f ca="1">IFERROR(__xludf.DUMMYFUNCTION("if($G281="""",false, if(isna(match(T$2, split($G281:$G383,"", "",False),0)),false,true))"),FALSE)</f>
        <v>0</v>
      </c>
      <c r="U281" s="53" t="b">
        <f ca="1">IFERROR(__xludf.DUMMYFUNCTION("if($G281="""",false, if(isna(match(U$2, split($G281:$G383,"", "",False),0)),false,true))"),FALSE)</f>
        <v>0</v>
      </c>
      <c r="V281" s="53" t="b">
        <f ca="1">IFERROR(__xludf.DUMMYFUNCTION("if($G281="""",false, if(isna(match(V$2, split($G281:$G383,"", "",False),0)),false,true))"),FALSE)</f>
        <v>0</v>
      </c>
      <c r="W281" s="57" t="b">
        <f ca="1">IFERROR(__xludf.DUMMYFUNCTION("if($G281="""",false, if(isna(match(W$2, split($G281:$G383,"", "",False),0)),false,true))"),FALSE)</f>
        <v>0</v>
      </c>
    </row>
    <row r="282" spans="1:23" ht="42">
      <c r="A282" s="47" t="s">
        <v>819</v>
      </c>
      <c r="B282" s="47" t="s">
        <v>65</v>
      </c>
      <c r="C282" s="49" t="s">
        <v>627</v>
      </c>
      <c r="D282" s="52" t="s">
        <v>756</v>
      </c>
      <c r="E282" s="49" t="s">
        <v>820</v>
      </c>
      <c r="F282" s="52" t="s">
        <v>821</v>
      </c>
      <c r="G282" s="59" t="s">
        <v>197</v>
      </c>
      <c r="H282" s="53" t="b">
        <f ca="1">IFERROR(__xludf.DUMMYFUNCTION("if($G282="""",false, if(isna(match(H$2, split($G282:$G383,"", "",False),0)),false,true))"),FALSE)</f>
        <v>0</v>
      </c>
      <c r="I282" s="53" t="b">
        <f ca="1">IFERROR(__xludf.DUMMYFUNCTION("if($G282="""",false, if(isna(match(I$2, split($G282:$G383,"", "",False),0)),false,true))"),FALSE)</f>
        <v>0</v>
      </c>
      <c r="J282" s="53" t="b">
        <f ca="1">IFERROR(__xludf.DUMMYFUNCTION("if($G282="""",false, if(isna(match(J$2, split($G282:$G383,"", "",False),0)),false,true))"),FALSE)</f>
        <v>0</v>
      </c>
      <c r="K282" s="53" t="b">
        <f ca="1">IFERROR(__xludf.DUMMYFUNCTION("if($G282="""",false, if(isna(match(K$2, split($G282:$G383,"", "",False),0)),false,true))"),FALSE)</f>
        <v>0</v>
      </c>
      <c r="L282" s="53" t="b">
        <f ca="1">IFERROR(__xludf.DUMMYFUNCTION("if($G282="""",false, if(isna(match(L$2, split($G282:$G383,"", "",False),0)),false,true))"),FALSE)</f>
        <v>0</v>
      </c>
      <c r="M282" s="53" t="b">
        <f ca="1">IFERROR(__xludf.DUMMYFUNCTION("if($G282="""",false, if(isna(match(M$2, split($G282:$G383,"", "",False),0)),false,true))"),FALSE)</f>
        <v>0</v>
      </c>
      <c r="N282" s="53" t="b">
        <f ca="1">IFERROR(__xludf.DUMMYFUNCTION("if($G282="""",false, if(isna(match(N$2, split($G282:$G383,"", "",False),0)),false,true))"),FALSE)</f>
        <v>0</v>
      </c>
      <c r="O282" s="53" t="b">
        <f ca="1">IFERROR(__xludf.DUMMYFUNCTION("if($G282="""",false, if(isna(match(O$2, split($G282:$G383,"", "",False),0)),false,true))"),FALSE)</f>
        <v>0</v>
      </c>
      <c r="P282" s="53" t="b">
        <f ca="1">IFERROR(__xludf.DUMMYFUNCTION("if($G282="""",false, if(isna(match(P$2, split($G282:$G383,"", "",False),0)),false,true))"),FALSE)</f>
        <v>0</v>
      </c>
      <c r="Q282" s="53" t="b">
        <f ca="1">IFERROR(__xludf.DUMMYFUNCTION("if($G282="""",false, if(isna(match(Q$2, split($G282:$G383,"", "",False),0)),false,true))"),FALSE)</f>
        <v>0</v>
      </c>
      <c r="R282" s="53" t="b">
        <f ca="1">IFERROR(__xludf.DUMMYFUNCTION("if($G282="""",false, if(isna(match(R$2, split($G282:$G383,"", "",False),0)),false,true))"),FALSE)</f>
        <v>0</v>
      </c>
      <c r="S282" s="53" t="b">
        <f ca="1">IFERROR(__xludf.DUMMYFUNCTION("if($G282="""",false, if(isna(match(S$2, split($G282:$G383,"", "",False),0)),false,true))"),FALSE)</f>
        <v>0</v>
      </c>
      <c r="T282" s="53" t="b">
        <f ca="1">IFERROR(__xludf.DUMMYFUNCTION("if($G282="""",false, if(isna(match(T$2, split($G282:$G383,"", "",False),0)),false,true))"),FALSE)</f>
        <v>0</v>
      </c>
      <c r="U282" s="53" t="b">
        <f ca="1">IFERROR(__xludf.DUMMYFUNCTION("if($G282="""",false, if(isna(match(U$2, split($G282:$G383,"", "",False),0)),false,true))"),FALSE)</f>
        <v>0</v>
      </c>
      <c r="V282" s="53" t="b">
        <f ca="1">IFERROR(__xludf.DUMMYFUNCTION("if($G282="""",false, if(isna(match(V$2, split($G282:$G383,"", "",False),0)),false,true))"),FALSE)</f>
        <v>0</v>
      </c>
      <c r="W282" s="57" t="b">
        <f ca="1">IFERROR(__xludf.DUMMYFUNCTION("if($G282="""",false, if(isna(match(W$2, split($G282:$G383,"", "",False),0)),false,true))"),FALSE)</f>
        <v>0</v>
      </c>
    </row>
    <row r="283" spans="1:23" ht="42">
      <c r="A283" s="47" t="s">
        <v>822</v>
      </c>
      <c r="B283" s="47" t="s">
        <v>65</v>
      </c>
      <c r="C283" s="49" t="s">
        <v>627</v>
      </c>
      <c r="D283" s="52" t="s">
        <v>756</v>
      </c>
      <c r="E283" s="49" t="s">
        <v>820</v>
      </c>
      <c r="F283" s="52" t="s">
        <v>823</v>
      </c>
      <c r="G283" s="59" t="s">
        <v>119</v>
      </c>
      <c r="H283" s="53" t="b">
        <f ca="1">IFERROR(__xludf.DUMMYFUNCTION("if($G283="""",false, if(isna(match(H$2, split($G283:$G383,"", "",False),0)),false,true))"),FALSE)</f>
        <v>0</v>
      </c>
      <c r="I283" s="53" t="b">
        <f ca="1">IFERROR(__xludf.DUMMYFUNCTION("if($G283="""",false, if(isna(match(I$2, split($G283:$G383,"", "",False),0)),false,true))"),FALSE)</f>
        <v>0</v>
      </c>
      <c r="J283" s="53" t="b">
        <f ca="1">IFERROR(__xludf.DUMMYFUNCTION("if($G283="""",false, if(isna(match(J$2, split($G283:$G383,"", "",False),0)),false,true))"),FALSE)</f>
        <v>0</v>
      </c>
      <c r="K283" s="53" t="b">
        <f ca="1">IFERROR(__xludf.DUMMYFUNCTION("if($G283="""",false, if(isna(match(K$2, split($G283:$G383,"", "",False),0)),false,true))"),FALSE)</f>
        <v>0</v>
      </c>
      <c r="L283" s="53" t="b">
        <f ca="1">IFERROR(__xludf.DUMMYFUNCTION("if($G283="""",false, if(isna(match(L$2, split($G283:$G383,"", "",False),0)),false,true))"),FALSE)</f>
        <v>0</v>
      </c>
      <c r="M283" s="53" t="b">
        <f ca="1">IFERROR(__xludf.DUMMYFUNCTION("if($G283="""",false, if(isna(match(M$2, split($G283:$G383,"", "",False),0)),false,true))"),FALSE)</f>
        <v>0</v>
      </c>
      <c r="N283" s="53" t="b">
        <f ca="1">IFERROR(__xludf.DUMMYFUNCTION("if($G283="""",false, if(isna(match(N$2, split($G283:$G383,"", "",False),0)),false,true))"),FALSE)</f>
        <v>0</v>
      </c>
      <c r="O283" s="53" t="b">
        <f ca="1">IFERROR(__xludf.DUMMYFUNCTION("if($G283="""",false, if(isna(match(O$2, split($G283:$G383,"", "",False),0)),false,true))"),FALSE)</f>
        <v>0</v>
      </c>
      <c r="P283" s="53" t="b">
        <f ca="1">IFERROR(__xludf.DUMMYFUNCTION("if($G283="""",false, if(isna(match(P$2, split($G283:$G383,"", "",False),0)),false,true))"),FALSE)</f>
        <v>0</v>
      </c>
      <c r="Q283" s="53" t="b">
        <f ca="1">IFERROR(__xludf.DUMMYFUNCTION("if($G283="""",false, if(isna(match(Q$2, split($G283:$G383,"", "",False),0)),false,true))"),FALSE)</f>
        <v>0</v>
      </c>
      <c r="R283" s="53" t="b">
        <f ca="1">IFERROR(__xludf.DUMMYFUNCTION("if($G283="""",false, if(isna(match(R$2, split($G283:$G383,"", "",False),0)),false,true))"),FALSE)</f>
        <v>0</v>
      </c>
      <c r="S283" s="53" t="b">
        <f ca="1">IFERROR(__xludf.DUMMYFUNCTION("if($G283="""",false, if(isna(match(S$2, split($G283:$G383,"", "",False),0)),false,true))"),TRUE)</f>
        <v>1</v>
      </c>
      <c r="T283" s="53" t="b">
        <f ca="1">IFERROR(__xludf.DUMMYFUNCTION("if($G283="""",false, if(isna(match(T$2, split($G283:$G383,"", "",False),0)),false,true))"),FALSE)</f>
        <v>0</v>
      </c>
      <c r="U283" s="53" t="b">
        <f ca="1">IFERROR(__xludf.DUMMYFUNCTION("if($G283="""",false, if(isna(match(U$2, split($G283:$G383,"", "",False),0)),false,true))"),FALSE)</f>
        <v>0</v>
      </c>
      <c r="V283" s="53" t="b">
        <f ca="1">IFERROR(__xludf.DUMMYFUNCTION("if($G283="""",false, if(isna(match(V$2, split($G283:$G383,"", "",False),0)),false,true))"),FALSE)</f>
        <v>0</v>
      </c>
      <c r="W283" s="57" t="b">
        <f ca="1">IFERROR(__xludf.DUMMYFUNCTION("if($G283="""",false, if(isna(match(W$2, split($G283:$G383,"", "",False),0)),false,true))"),FALSE)</f>
        <v>0</v>
      </c>
    </row>
    <row r="284" spans="1:23" ht="28">
      <c r="A284" s="47" t="s">
        <v>824</v>
      </c>
      <c r="B284" s="47" t="s">
        <v>65</v>
      </c>
      <c r="C284" s="49" t="s">
        <v>627</v>
      </c>
      <c r="D284" s="52" t="s">
        <v>756</v>
      </c>
      <c r="E284" s="49" t="s">
        <v>820</v>
      </c>
      <c r="F284" s="52" t="s">
        <v>825</v>
      </c>
      <c r="G284" s="59" t="s">
        <v>119</v>
      </c>
      <c r="H284" s="53" t="b">
        <f ca="1">IFERROR(__xludf.DUMMYFUNCTION("if($G284="""",false, if(isna(match(H$2, split($G284:$G383,"", "",False),0)),false,true))"),FALSE)</f>
        <v>0</v>
      </c>
      <c r="I284" s="53" t="b">
        <f ca="1">IFERROR(__xludf.DUMMYFUNCTION("if($G284="""",false, if(isna(match(I$2, split($G284:$G383,"", "",False),0)),false,true))"),FALSE)</f>
        <v>0</v>
      </c>
      <c r="J284" s="53" t="b">
        <f ca="1">IFERROR(__xludf.DUMMYFUNCTION("if($G284="""",false, if(isna(match(J$2, split($G284:$G383,"", "",False),0)),false,true))"),FALSE)</f>
        <v>0</v>
      </c>
      <c r="K284" s="53" t="b">
        <f ca="1">IFERROR(__xludf.DUMMYFUNCTION("if($G284="""",false, if(isna(match(K$2, split($G284:$G383,"", "",False),0)),false,true))"),FALSE)</f>
        <v>0</v>
      </c>
      <c r="L284" s="53" t="b">
        <f ca="1">IFERROR(__xludf.DUMMYFUNCTION("if($G284="""",false, if(isna(match(L$2, split($G284:$G383,"", "",False),0)),false,true))"),FALSE)</f>
        <v>0</v>
      </c>
      <c r="M284" s="53" t="b">
        <f ca="1">IFERROR(__xludf.DUMMYFUNCTION("if($G284="""",false, if(isna(match(M$2, split($G284:$G383,"", "",False),0)),false,true))"),FALSE)</f>
        <v>0</v>
      </c>
      <c r="N284" s="53" t="b">
        <f ca="1">IFERROR(__xludf.DUMMYFUNCTION("if($G284="""",false, if(isna(match(N$2, split($G284:$G383,"", "",False),0)),false,true))"),FALSE)</f>
        <v>0</v>
      </c>
      <c r="O284" s="53" t="b">
        <f ca="1">IFERROR(__xludf.DUMMYFUNCTION("if($G284="""",false, if(isna(match(O$2, split($G284:$G383,"", "",False),0)),false,true))"),FALSE)</f>
        <v>0</v>
      </c>
      <c r="P284" s="53" t="b">
        <f ca="1">IFERROR(__xludf.DUMMYFUNCTION("if($G284="""",false, if(isna(match(P$2, split($G284:$G383,"", "",False),0)),false,true))"),FALSE)</f>
        <v>0</v>
      </c>
      <c r="Q284" s="53" t="b">
        <f ca="1">IFERROR(__xludf.DUMMYFUNCTION("if($G284="""",false, if(isna(match(Q$2, split($G284:$G383,"", "",False),0)),false,true))"),FALSE)</f>
        <v>0</v>
      </c>
      <c r="R284" s="53" t="b">
        <f ca="1">IFERROR(__xludf.DUMMYFUNCTION("if($G284="""",false, if(isna(match(R$2, split($G284:$G383,"", "",False),0)),false,true))"),FALSE)</f>
        <v>0</v>
      </c>
      <c r="S284" s="53" t="b">
        <f ca="1">IFERROR(__xludf.DUMMYFUNCTION("if($G284="""",false, if(isna(match(S$2, split($G284:$G383,"", "",False),0)),false,true))"),TRUE)</f>
        <v>1</v>
      </c>
      <c r="T284" s="53" t="b">
        <f ca="1">IFERROR(__xludf.DUMMYFUNCTION("if($G284="""",false, if(isna(match(T$2, split($G284:$G383,"", "",False),0)),false,true))"),FALSE)</f>
        <v>0</v>
      </c>
      <c r="U284" s="53" t="b">
        <f ca="1">IFERROR(__xludf.DUMMYFUNCTION("if($G284="""",false, if(isna(match(U$2, split($G284:$G383,"", "",False),0)),false,true))"),FALSE)</f>
        <v>0</v>
      </c>
      <c r="V284" s="53" t="b">
        <f ca="1">IFERROR(__xludf.DUMMYFUNCTION("if($G284="""",false, if(isna(match(V$2, split($G284:$G383,"", "",False),0)),false,true))"),FALSE)</f>
        <v>0</v>
      </c>
      <c r="W284" s="57" t="b">
        <f ca="1">IFERROR(__xludf.DUMMYFUNCTION("if($G284="""",false, if(isna(match(W$2, split($G284:$G383,"", "",False),0)),false,true))"),FALSE)</f>
        <v>0</v>
      </c>
    </row>
    <row r="285" spans="1:23" ht="28">
      <c r="A285" s="47" t="s">
        <v>826</v>
      </c>
      <c r="B285" s="47" t="s">
        <v>65</v>
      </c>
      <c r="C285" s="49" t="s">
        <v>627</v>
      </c>
      <c r="D285" s="52" t="s">
        <v>756</v>
      </c>
      <c r="E285" s="49" t="s">
        <v>820</v>
      </c>
      <c r="F285" s="52" t="s">
        <v>827</v>
      </c>
      <c r="G285" s="59" t="s">
        <v>197</v>
      </c>
      <c r="H285" s="53" t="b">
        <f ca="1">IFERROR(__xludf.DUMMYFUNCTION("if($G285="""",false, if(isna(match(H$2, split($G285:$G383,"", "",False),0)),false,true))"),FALSE)</f>
        <v>0</v>
      </c>
      <c r="I285" s="53" t="b">
        <f ca="1">IFERROR(__xludf.DUMMYFUNCTION("if($G285="""",false, if(isna(match(I$2, split($G285:$G383,"", "",False),0)),false,true))"),FALSE)</f>
        <v>0</v>
      </c>
      <c r="J285" s="53" t="b">
        <f ca="1">IFERROR(__xludf.DUMMYFUNCTION("if($G285="""",false, if(isna(match(J$2, split($G285:$G383,"", "",False),0)),false,true))"),FALSE)</f>
        <v>0</v>
      </c>
      <c r="K285" s="53" t="b">
        <f ca="1">IFERROR(__xludf.DUMMYFUNCTION("if($G285="""",false, if(isna(match(K$2, split($G285:$G383,"", "",False),0)),false,true))"),FALSE)</f>
        <v>0</v>
      </c>
      <c r="L285" s="53" t="b">
        <f ca="1">IFERROR(__xludf.DUMMYFUNCTION("if($G285="""",false, if(isna(match(L$2, split($G285:$G383,"", "",False),0)),false,true))"),FALSE)</f>
        <v>0</v>
      </c>
      <c r="M285" s="53" t="b">
        <f ca="1">IFERROR(__xludf.DUMMYFUNCTION("if($G285="""",false, if(isna(match(M$2, split($G285:$G383,"", "",False),0)),false,true))"),FALSE)</f>
        <v>0</v>
      </c>
      <c r="N285" s="53" t="b">
        <f ca="1">IFERROR(__xludf.DUMMYFUNCTION("if($G285="""",false, if(isna(match(N$2, split($G285:$G383,"", "",False),0)),false,true))"),FALSE)</f>
        <v>0</v>
      </c>
      <c r="O285" s="53" t="b">
        <f ca="1">IFERROR(__xludf.DUMMYFUNCTION("if($G285="""",false, if(isna(match(O$2, split($G285:$G383,"", "",False),0)),false,true))"),FALSE)</f>
        <v>0</v>
      </c>
      <c r="P285" s="53" t="b">
        <f ca="1">IFERROR(__xludf.DUMMYFUNCTION("if($G285="""",false, if(isna(match(P$2, split($G285:$G383,"", "",False),0)),false,true))"),FALSE)</f>
        <v>0</v>
      </c>
      <c r="Q285" s="53" t="b">
        <f ca="1">IFERROR(__xludf.DUMMYFUNCTION("if($G285="""",false, if(isna(match(Q$2, split($G285:$G383,"", "",False),0)),false,true))"),FALSE)</f>
        <v>0</v>
      </c>
      <c r="R285" s="53" t="b">
        <f ca="1">IFERROR(__xludf.DUMMYFUNCTION("if($G285="""",false, if(isna(match(R$2, split($G285:$G383,"", "",False),0)),false,true))"),FALSE)</f>
        <v>0</v>
      </c>
      <c r="S285" s="53" t="b">
        <f ca="1">IFERROR(__xludf.DUMMYFUNCTION("if($G285="""",false, if(isna(match(S$2, split($G285:$G383,"", "",False),0)),false,true))"),FALSE)</f>
        <v>0</v>
      </c>
      <c r="T285" s="53" t="b">
        <f ca="1">IFERROR(__xludf.DUMMYFUNCTION("if($G285="""",false, if(isna(match(T$2, split($G285:$G383,"", "",False),0)),false,true))"),FALSE)</f>
        <v>0</v>
      </c>
      <c r="U285" s="53" t="b">
        <f ca="1">IFERROR(__xludf.DUMMYFUNCTION("if($G285="""",false, if(isna(match(U$2, split($G285:$G383,"", "",False),0)),false,true))"),FALSE)</f>
        <v>0</v>
      </c>
      <c r="V285" s="53" t="b">
        <f ca="1">IFERROR(__xludf.DUMMYFUNCTION("if($G285="""",false, if(isna(match(V$2, split($G285:$G383,"", "",False),0)),false,true))"),FALSE)</f>
        <v>0</v>
      </c>
      <c r="W285" s="57" t="b">
        <f ca="1">IFERROR(__xludf.DUMMYFUNCTION("if($G285="""",false, if(isna(match(W$2, split($G285:$G383,"", "",False),0)),false,true))"),FALSE)</f>
        <v>0</v>
      </c>
    </row>
    <row r="286" spans="1:23" ht="28">
      <c r="A286" s="47" t="s">
        <v>828</v>
      </c>
      <c r="B286" s="47" t="s">
        <v>65</v>
      </c>
      <c r="C286" s="49" t="s">
        <v>627</v>
      </c>
      <c r="D286" s="52" t="s">
        <v>756</v>
      </c>
      <c r="E286" s="49" t="s">
        <v>820</v>
      </c>
      <c r="F286" s="52" t="s">
        <v>829</v>
      </c>
      <c r="G286" s="59" t="s">
        <v>197</v>
      </c>
      <c r="H286" s="53" t="b">
        <f ca="1">IFERROR(__xludf.DUMMYFUNCTION("if($G286="""",false, if(isna(match(H$2, split($G286:$G383,"", "",False),0)),false,true))"),FALSE)</f>
        <v>0</v>
      </c>
      <c r="I286" s="53" t="b">
        <f ca="1">IFERROR(__xludf.DUMMYFUNCTION("if($G286="""",false, if(isna(match(I$2, split($G286:$G383,"", "",False),0)),false,true))"),FALSE)</f>
        <v>0</v>
      </c>
      <c r="J286" s="53" t="b">
        <f ca="1">IFERROR(__xludf.DUMMYFUNCTION("if($G286="""",false, if(isna(match(J$2, split($G286:$G383,"", "",False),0)),false,true))"),FALSE)</f>
        <v>0</v>
      </c>
      <c r="K286" s="53" t="b">
        <f ca="1">IFERROR(__xludf.DUMMYFUNCTION("if($G286="""",false, if(isna(match(K$2, split($G286:$G383,"", "",False),0)),false,true))"),FALSE)</f>
        <v>0</v>
      </c>
      <c r="L286" s="53" t="b">
        <f ca="1">IFERROR(__xludf.DUMMYFUNCTION("if($G286="""",false, if(isna(match(L$2, split($G286:$G383,"", "",False),0)),false,true))"),FALSE)</f>
        <v>0</v>
      </c>
      <c r="M286" s="53" t="b">
        <f ca="1">IFERROR(__xludf.DUMMYFUNCTION("if($G286="""",false, if(isna(match(M$2, split($G286:$G383,"", "",False),0)),false,true))"),FALSE)</f>
        <v>0</v>
      </c>
      <c r="N286" s="53" t="b">
        <f ca="1">IFERROR(__xludf.DUMMYFUNCTION("if($G286="""",false, if(isna(match(N$2, split($G286:$G383,"", "",False),0)),false,true))"),FALSE)</f>
        <v>0</v>
      </c>
      <c r="O286" s="53" t="b">
        <f ca="1">IFERROR(__xludf.DUMMYFUNCTION("if($G286="""",false, if(isna(match(O$2, split($G286:$G383,"", "",False),0)),false,true))"),FALSE)</f>
        <v>0</v>
      </c>
      <c r="P286" s="53" t="b">
        <f ca="1">IFERROR(__xludf.DUMMYFUNCTION("if($G286="""",false, if(isna(match(P$2, split($G286:$G383,"", "",False),0)),false,true))"),FALSE)</f>
        <v>0</v>
      </c>
      <c r="Q286" s="53" t="b">
        <f ca="1">IFERROR(__xludf.DUMMYFUNCTION("if($G286="""",false, if(isna(match(Q$2, split($G286:$G383,"", "",False),0)),false,true))"),FALSE)</f>
        <v>0</v>
      </c>
      <c r="R286" s="53" t="b">
        <f ca="1">IFERROR(__xludf.DUMMYFUNCTION("if($G286="""",false, if(isna(match(R$2, split($G286:$G383,"", "",False),0)),false,true))"),FALSE)</f>
        <v>0</v>
      </c>
      <c r="S286" s="53" t="b">
        <f ca="1">IFERROR(__xludf.DUMMYFUNCTION("if($G286="""",false, if(isna(match(S$2, split($G286:$G383,"", "",False),0)),false,true))"),FALSE)</f>
        <v>0</v>
      </c>
      <c r="T286" s="53" t="b">
        <f ca="1">IFERROR(__xludf.DUMMYFUNCTION("if($G286="""",false, if(isna(match(T$2, split($G286:$G383,"", "",False),0)),false,true))"),FALSE)</f>
        <v>0</v>
      </c>
      <c r="U286" s="53" t="b">
        <f ca="1">IFERROR(__xludf.DUMMYFUNCTION("if($G286="""",false, if(isna(match(U$2, split($G286:$G383,"", "",False),0)),false,true))"),FALSE)</f>
        <v>0</v>
      </c>
      <c r="V286" s="53" t="b">
        <f ca="1">IFERROR(__xludf.DUMMYFUNCTION("if($G286="""",false, if(isna(match(V$2, split($G286:$G383,"", "",False),0)),false,true))"),FALSE)</f>
        <v>0</v>
      </c>
      <c r="W286" s="57" t="b">
        <f ca="1">IFERROR(__xludf.DUMMYFUNCTION("if($G286="""",false, if(isna(match(W$2, split($G286:$G383,"", "",False),0)),false,true))"),FALSE)</f>
        <v>0</v>
      </c>
    </row>
    <row r="287" spans="1:23" ht="42">
      <c r="A287" s="47" t="s">
        <v>830</v>
      </c>
      <c r="B287" s="47" t="s">
        <v>65</v>
      </c>
      <c r="C287" s="49" t="s">
        <v>627</v>
      </c>
      <c r="D287" s="52" t="s">
        <v>756</v>
      </c>
      <c r="E287" s="49" t="s">
        <v>820</v>
      </c>
      <c r="F287" s="52" t="s">
        <v>831</v>
      </c>
      <c r="G287" s="59" t="s">
        <v>197</v>
      </c>
      <c r="H287" s="53" t="b">
        <f ca="1">IFERROR(__xludf.DUMMYFUNCTION("if($G287="""",false, if(isna(match(H$2, split($G287:$G383,"", "",False),0)),false,true))"),FALSE)</f>
        <v>0</v>
      </c>
      <c r="I287" s="53" t="b">
        <f ca="1">IFERROR(__xludf.DUMMYFUNCTION("if($G287="""",false, if(isna(match(I$2, split($G287:$G383,"", "",False),0)),false,true))"),FALSE)</f>
        <v>0</v>
      </c>
      <c r="J287" s="53" t="b">
        <f ca="1">IFERROR(__xludf.DUMMYFUNCTION("if($G287="""",false, if(isna(match(J$2, split($G287:$G383,"", "",False),0)),false,true))"),FALSE)</f>
        <v>0</v>
      </c>
      <c r="K287" s="53" t="b">
        <f ca="1">IFERROR(__xludf.DUMMYFUNCTION("if($G287="""",false, if(isna(match(K$2, split($G287:$G383,"", "",False),0)),false,true))"),FALSE)</f>
        <v>0</v>
      </c>
      <c r="L287" s="53" t="b">
        <f ca="1">IFERROR(__xludf.DUMMYFUNCTION("if($G287="""",false, if(isna(match(L$2, split($G287:$G383,"", "",False),0)),false,true))"),FALSE)</f>
        <v>0</v>
      </c>
      <c r="M287" s="53" t="b">
        <f ca="1">IFERROR(__xludf.DUMMYFUNCTION("if($G287="""",false, if(isna(match(M$2, split($G287:$G383,"", "",False),0)),false,true))"),FALSE)</f>
        <v>0</v>
      </c>
      <c r="N287" s="53" t="b">
        <f ca="1">IFERROR(__xludf.DUMMYFUNCTION("if($G287="""",false, if(isna(match(N$2, split($G287:$G383,"", "",False),0)),false,true))"),FALSE)</f>
        <v>0</v>
      </c>
      <c r="O287" s="53" t="b">
        <f ca="1">IFERROR(__xludf.DUMMYFUNCTION("if($G287="""",false, if(isna(match(O$2, split($G287:$G383,"", "",False),0)),false,true))"),FALSE)</f>
        <v>0</v>
      </c>
      <c r="P287" s="53" t="b">
        <f ca="1">IFERROR(__xludf.DUMMYFUNCTION("if($G287="""",false, if(isna(match(P$2, split($G287:$G383,"", "",False),0)),false,true))"),FALSE)</f>
        <v>0</v>
      </c>
      <c r="Q287" s="53" t="b">
        <f ca="1">IFERROR(__xludf.DUMMYFUNCTION("if($G287="""",false, if(isna(match(Q$2, split($G287:$G383,"", "",False),0)),false,true))"),FALSE)</f>
        <v>0</v>
      </c>
      <c r="R287" s="53" t="b">
        <f ca="1">IFERROR(__xludf.DUMMYFUNCTION("if($G287="""",false, if(isna(match(R$2, split($G287:$G383,"", "",False),0)),false,true))"),FALSE)</f>
        <v>0</v>
      </c>
      <c r="S287" s="53" t="b">
        <f ca="1">IFERROR(__xludf.DUMMYFUNCTION("if($G287="""",false, if(isna(match(S$2, split($G287:$G383,"", "",False),0)),false,true))"),FALSE)</f>
        <v>0</v>
      </c>
      <c r="T287" s="53" t="b">
        <f ca="1">IFERROR(__xludf.DUMMYFUNCTION("if($G287="""",false, if(isna(match(T$2, split($G287:$G383,"", "",False),0)),false,true))"),FALSE)</f>
        <v>0</v>
      </c>
      <c r="U287" s="53" t="b">
        <f ca="1">IFERROR(__xludf.DUMMYFUNCTION("if($G287="""",false, if(isna(match(U$2, split($G287:$G383,"", "",False),0)),false,true))"),FALSE)</f>
        <v>0</v>
      </c>
      <c r="V287" s="53" t="b">
        <f ca="1">IFERROR(__xludf.DUMMYFUNCTION("if($G287="""",false, if(isna(match(V$2, split($G287:$G383,"", "",False),0)),false,true))"),FALSE)</f>
        <v>0</v>
      </c>
      <c r="W287" s="57" t="b">
        <f ca="1">IFERROR(__xludf.DUMMYFUNCTION("if($G287="""",false, if(isna(match(W$2, split($G287:$G383,"", "",False),0)),false,true))"),FALSE)</f>
        <v>0</v>
      </c>
    </row>
    <row r="288" spans="1:23" ht="28">
      <c r="A288" s="47" t="s">
        <v>832</v>
      </c>
      <c r="B288" s="47" t="s">
        <v>65</v>
      </c>
      <c r="C288" s="49" t="s">
        <v>627</v>
      </c>
      <c r="D288" s="52" t="s">
        <v>756</v>
      </c>
      <c r="E288" s="49" t="s">
        <v>820</v>
      </c>
      <c r="F288" s="52" t="s">
        <v>833</v>
      </c>
      <c r="G288" s="59" t="s">
        <v>197</v>
      </c>
      <c r="H288" s="53" t="b">
        <f ca="1">IFERROR(__xludf.DUMMYFUNCTION("if($G288="""",false, if(isna(match(H$2, split($G288:$G383,"", "",False),0)),false,true))"),FALSE)</f>
        <v>0</v>
      </c>
      <c r="I288" s="53" t="b">
        <f ca="1">IFERROR(__xludf.DUMMYFUNCTION("if($G288="""",false, if(isna(match(I$2, split($G288:$G383,"", "",False),0)),false,true))"),FALSE)</f>
        <v>0</v>
      </c>
      <c r="J288" s="53" t="b">
        <f ca="1">IFERROR(__xludf.DUMMYFUNCTION("if($G288="""",false, if(isna(match(J$2, split($G288:$G383,"", "",False),0)),false,true))"),FALSE)</f>
        <v>0</v>
      </c>
      <c r="K288" s="53" t="b">
        <f ca="1">IFERROR(__xludf.DUMMYFUNCTION("if($G288="""",false, if(isna(match(K$2, split($G288:$G383,"", "",False),0)),false,true))"),FALSE)</f>
        <v>0</v>
      </c>
      <c r="L288" s="53" t="b">
        <f ca="1">IFERROR(__xludf.DUMMYFUNCTION("if($G288="""",false, if(isna(match(L$2, split($G288:$G383,"", "",False),0)),false,true))"),FALSE)</f>
        <v>0</v>
      </c>
      <c r="M288" s="53" t="b">
        <f ca="1">IFERROR(__xludf.DUMMYFUNCTION("if($G288="""",false, if(isna(match(M$2, split($G288:$G383,"", "",False),0)),false,true))"),FALSE)</f>
        <v>0</v>
      </c>
      <c r="N288" s="53" t="b">
        <f ca="1">IFERROR(__xludf.DUMMYFUNCTION("if($G288="""",false, if(isna(match(N$2, split($G288:$G383,"", "",False),0)),false,true))"),FALSE)</f>
        <v>0</v>
      </c>
      <c r="O288" s="53" t="b">
        <f ca="1">IFERROR(__xludf.DUMMYFUNCTION("if($G288="""",false, if(isna(match(O$2, split($G288:$G383,"", "",False),0)),false,true))"),FALSE)</f>
        <v>0</v>
      </c>
      <c r="P288" s="53" t="b">
        <f ca="1">IFERROR(__xludf.DUMMYFUNCTION("if($G288="""",false, if(isna(match(P$2, split($G288:$G383,"", "",False),0)),false,true))"),FALSE)</f>
        <v>0</v>
      </c>
      <c r="Q288" s="53" t="b">
        <f ca="1">IFERROR(__xludf.DUMMYFUNCTION("if($G288="""",false, if(isna(match(Q$2, split($G288:$G383,"", "",False),0)),false,true))"),FALSE)</f>
        <v>0</v>
      </c>
      <c r="R288" s="53" t="b">
        <f ca="1">IFERROR(__xludf.DUMMYFUNCTION("if($G288="""",false, if(isna(match(R$2, split($G288:$G383,"", "",False),0)),false,true))"),FALSE)</f>
        <v>0</v>
      </c>
      <c r="S288" s="53" t="b">
        <f ca="1">IFERROR(__xludf.DUMMYFUNCTION("if($G288="""",false, if(isna(match(S$2, split($G288:$G383,"", "",False),0)),false,true))"),FALSE)</f>
        <v>0</v>
      </c>
      <c r="T288" s="53" t="b">
        <f ca="1">IFERROR(__xludf.DUMMYFUNCTION("if($G288="""",false, if(isna(match(T$2, split($G288:$G383,"", "",False),0)),false,true))"),FALSE)</f>
        <v>0</v>
      </c>
      <c r="U288" s="53" t="b">
        <f ca="1">IFERROR(__xludf.DUMMYFUNCTION("if($G288="""",false, if(isna(match(U$2, split($G288:$G383,"", "",False),0)),false,true))"),FALSE)</f>
        <v>0</v>
      </c>
      <c r="V288" s="53" t="b">
        <f ca="1">IFERROR(__xludf.DUMMYFUNCTION("if($G288="""",false, if(isna(match(V$2, split($G288:$G383,"", "",False),0)),false,true))"),FALSE)</f>
        <v>0</v>
      </c>
      <c r="W288" s="57" t="b">
        <f ca="1">IFERROR(__xludf.DUMMYFUNCTION("if($G288="""",false, if(isna(match(W$2, split($G288:$G383,"", "",False),0)),false,true))"),FALSE)</f>
        <v>0</v>
      </c>
    </row>
    <row r="289" spans="1:23" ht="42">
      <c r="A289" s="47" t="s">
        <v>834</v>
      </c>
      <c r="B289" s="47" t="s">
        <v>65</v>
      </c>
      <c r="C289" s="49" t="s">
        <v>627</v>
      </c>
      <c r="D289" s="52" t="s">
        <v>756</v>
      </c>
      <c r="E289" s="49" t="s">
        <v>835</v>
      </c>
      <c r="F289" s="52" t="s">
        <v>836</v>
      </c>
      <c r="G289" s="59" t="s">
        <v>197</v>
      </c>
      <c r="H289" s="53" t="b">
        <f ca="1">IFERROR(__xludf.DUMMYFUNCTION("if($G289="""",false, if(isna(match(H$2, split($G289:$G383,"", "",False),0)),false,true))"),FALSE)</f>
        <v>0</v>
      </c>
      <c r="I289" s="53" t="b">
        <f ca="1">IFERROR(__xludf.DUMMYFUNCTION("if($G289="""",false, if(isna(match(I$2, split($G289:$G383,"", "",False),0)),false,true))"),FALSE)</f>
        <v>0</v>
      </c>
      <c r="J289" s="53" t="b">
        <f ca="1">IFERROR(__xludf.DUMMYFUNCTION("if($G289="""",false, if(isna(match(J$2, split($G289:$G383,"", "",False),0)),false,true))"),FALSE)</f>
        <v>0</v>
      </c>
      <c r="K289" s="53" t="b">
        <f ca="1">IFERROR(__xludf.DUMMYFUNCTION("if($G289="""",false, if(isna(match(K$2, split($G289:$G383,"", "",False),0)),false,true))"),FALSE)</f>
        <v>0</v>
      </c>
      <c r="L289" s="53" t="b">
        <f ca="1">IFERROR(__xludf.DUMMYFUNCTION("if($G289="""",false, if(isna(match(L$2, split($G289:$G383,"", "",False),0)),false,true))"),FALSE)</f>
        <v>0</v>
      </c>
      <c r="M289" s="53" t="b">
        <f ca="1">IFERROR(__xludf.DUMMYFUNCTION("if($G289="""",false, if(isna(match(M$2, split($G289:$G383,"", "",False),0)),false,true))"),FALSE)</f>
        <v>0</v>
      </c>
      <c r="N289" s="53" t="b">
        <f ca="1">IFERROR(__xludf.DUMMYFUNCTION("if($G289="""",false, if(isna(match(N$2, split($G289:$G383,"", "",False),0)),false,true))"),FALSE)</f>
        <v>0</v>
      </c>
      <c r="O289" s="53" t="b">
        <f ca="1">IFERROR(__xludf.DUMMYFUNCTION("if($G289="""",false, if(isna(match(O$2, split($G289:$G383,"", "",False),0)),false,true))"),FALSE)</f>
        <v>0</v>
      </c>
      <c r="P289" s="53" t="b">
        <f ca="1">IFERROR(__xludf.DUMMYFUNCTION("if($G289="""",false, if(isna(match(P$2, split($G289:$G383,"", "",False),0)),false,true))"),FALSE)</f>
        <v>0</v>
      </c>
      <c r="Q289" s="53" t="b">
        <f ca="1">IFERROR(__xludf.DUMMYFUNCTION("if($G289="""",false, if(isna(match(Q$2, split($G289:$G383,"", "",False),0)),false,true))"),FALSE)</f>
        <v>0</v>
      </c>
      <c r="R289" s="53" t="b">
        <f ca="1">IFERROR(__xludf.DUMMYFUNCTION("if($G289="""",false, if(isna(match(R$2, split($G289:$G383,"", "",False),0)),false,true))"),FALSE)</f>
        <v>0</v>
      </c>
      <c r="S289" s="53" t="b">
        <f ca="1">IFERROR(__xludf.DUMMYFUNCTION("if($G289="""",false, if(isna(match(S$2, split($G289:$G383,"", "",False),0)),false,true))"),FALSE)</f>
        <v>0</v>
      </c>
      <c r="T289" s="53" t="b">
        <f ca="1">IFERROR(__xludf.DUMMYFUNCTION("if($G289="""",false, if(isna(match(T$2, split($G289:$G383,"", "",False),0)),false,true))"),FALSE)</f>
        <v>0</v>
      </c>
      <c r="U289" s="53" t="b">
        <f ca="1">IFERROR(__xludf.DUMMYFUNCTION("if($G289="""",false, if(isna(match(U$2, split($G289:$G383,"", "",False),0)),false,true))"),FALSE)</f>
        <v>0</v>
      </c>
      <c r="V289" s="53" t="b">
        <f ca="1">IFERROR(__xludf.DUMMYFUNCTION("if($G289="""",false, if(isna(match(V$2, split($G289:$G383,"", "",False),0)),false,true))"),FALSE)</f>
        <v>0</v>
      </c>
      <c r="W289" s="57" t="b">
        <f ca="1">IFERROR(__xludf.DUMMYFUNCTION("if($G289="""",false, if(isna(match(W$2, split($G289:$G383,"", "",False),0)),false,true))"),FALSE)</f>
        <v>0</v>
      </c>
    </row>
    <row r="290" spans="1:23" ht="42">
      <c r="A290" s="47" t="s">
        <v>837</v>
      </c>
      <c r="B290" s="47" t="s">
        <v>65</v>
      </c>
      <c r="C290" s="49" t="s">
        <v>627</v>
      </c>
      <c r="D290" s="52" t="s">
        <v>756</v>
      </c>
      <c r="E290" s="49" t="s">
        <v>835</v>
      </c>
      <c r="F290" s="52" t="s">
        <v>838</v>
      </c>
      <c r="G290" s="59"/>
      <c r="H290" s="53" t="b">
        <f ca="1">IFERROR(__xludf.DUMMYFUNCTION("if($G290="""",false, if(isna(match(H$2, split($G290:$G383,"", "",False),0)),false,true))"),FALSE)</f>
        <v>0</v>
      </c>
      <c r="I290" s="53" t="b">
        <f ca="1">IFERROR(__xludf.DUMMYFUNCTION("if($G290="""",false, if(isna(match(I$2, split($G290:$G383,"", "",False),0)),false,true))"),FALSE)</f>
        <v>0</v>
      </c>
      <c r="J290" s="53" t="b">
        <f ca="1">IFERROR(__xludf.DUMMYFUNCTION("if($G290="""",false, if(isna(match(J$2, split($G290:$G383,"", "",False),0)),false,true))"),FALSE)</f>
        <v>0</v>
      </c>
      <c r="K290" s="53" t="b">
        <f ca="1">IFERROR(__xludf.DUMMYFUNCTION("if($G290="""",false, if(isna(match(K$2, split($G290:$G383,"", "",False),0)),false,true))"),FALSE)</f>
        <v>0</v>
      </c>
      <c r="L290" s="53" t="b">
        <f ca="1">IFERROR(__xludf.DUMMYFUNCTION("if($G290="""",false, if(isna(match(L$2, split($G290:$G383,"", "",False),0)),false,true))"),FALSE)</f>
        <v>0</v>
      </c>
      <c r="M290" s="53" t="b">
        <f ca="1">IFERROR(__xludf.DUMMYFUNCTION("if($G290="""",false, if(isna(match(M$2, split($G290:$G383,"", "",False),0)),false,true))"),FALSE)</f>
        <v>0</v>
      </c>
      <c r="N290" s="53" t="b">
        <f ca="1">IFERROR(__xludf.DUMMYFUNCTION("if($G290="""",false, if(isna(match(N$2, split($G290:$G383,"", "",False),0)),false,true))"),FALSE)</f>
        <v>0</v>
      </c>
      <c r="O290" s="53" t="b">
        <f ca="1">IFERROR(__xludf.DUMMYFUNCTION("if($G290="""",false, if(isna(match(O$2, split($G290:$G383,"", "",False),0)),false,true))"),FALSE)</f>
        <v>0</v>
      </c>
      <c r="P290" s="53" t="b">
        <f ca="1">IFERROR(__xludf.DUMMYFUNCTION("if($G290="""",false, if(isna(match(P$2, split($G290:$G383,"", "",False),0)),false,true))"),FALSE)</f>
        <v>0</v>
      </c>
      <c r="Q290" s="53" t="b">
        <f ca="1">IFERROR(__xludf.DUMMYFUNCTION("if($G290="""",false, if(isna(match(Q$2, split($G290:$G383,"", "",False),0)),false,true))"),FALSE)</f>
        <v>0</v>
      </c>
      <c r="R290" s="53" t="b">
        <f ca="1">IFERROR(__xludf.DUMMYFUNCTION("if($G290="""",false, if(isna(match(R$2, split($G290:$G383,"", "",False),0)),false,true))"),FALSE)</f>
        <v>0</v>
      </c>
      <c r="S290" s="53" t="b">
        <f ca="1">IFERROR(__xludf.DUMMYFUNCTION("if($G290="""",false, if(isna(match(S$2, split($G290:$G383,"", "",False),0)),false,true))"),FALSE)</f>
        <v>0</v>
      </c>
      <c r="T290" s="53" t="b">
        <f ca="1">IFERROR(__xludf.DUMMYFUNCTION("if($G290="""",false, if(isna(match(T$2, split($G290:$G383,"", "",False),0)),false,true))"),FALSE)</f>
        <v>0</v>
      </c>
      <c r="U290" s="53" t="b">
        <f ca="1">IFERROR(__xludf.DUMMYFUNCTION("if($G290="""",false, if(isna(match(U$2, split($G290:$G383,"", "",False),0)),false,true))"),FALSE)</f>
        <v>0</v>
      </c>
      <c r="V290" s="53" t="b">
        <f ca="1">IFERROR(__xludf.DUMMYFUNCTION("if($G290="""",false, if(isna(match(V$2, split($G290:$G383,"", "",False),0)),false,true))"),FALSE)</f>
        <v>0</v>
      </c>
      <c r="W290" s="57" t="b">
        <f ca="1">IFERROR(__xludf.DUMMYFUNCTION("if($G290="""",false, if(isna(match(W$2, split($G290:$G383,"", "",False),0)),false,true))"),FALSE)</f>
        <v>0</v>
      </c>
    </row>
    <row r="291" spans="1:23" ht="28">
      <c r="A291" s="47" t="s">
        <v>839</v>
      </c>
      <c r="B291" s="47" t="s">
        <v>65</v>
      </c>
      <c r="C291" s="49" t="s">
        <v>627</v>
      </c>
      <c r="D291" s="52" t="s">
        <v>756</v>
      </c>
      <c r="E291" s="49" t="s">
        <v>835</v>
      </c>
      <c r="F291" s="52" t="s">
        <v>840</v>
      </c>
      <c r="G291" s="59" t="s">
        <v>197</v>
      </c>
      <c r="H291" s="53" t="b">
        <f ca="1">IFERROR(__xludf.DUMMYFUNCTION("if($G291="""",false, if(isna(match(H$2, split($G291:$G383,"", "",False),0)),false,true))"),FALSE)</f>
        <v>0</v>
      </c>
      <c r="I291" s="53" t="b">
        <f ca="1">IFERROR(__xludf.DUMMYFUNCTION("if($G291="""",false, if(isna(match(I$2, split($G291:$G383,"", "",False),0)),false,true))"),FALSE)</f>
        <v>0</v>
      </c>
      <c r="J291" s="53" t="b">
        <f ca="1">IFERROR(__xludf.DUMMYFUNCTION("if($G291="""",false, if(isna(match(J$2, split($G291:$G383,"", "",False),0)),false,true))"),FALSE)</f>
        <v>0</v>
      </c>
      <c r="K291" s="53" t="b">
        <f ca="1">IFERROR(__xludf.DUMMYFUNCTION("if($G291="""",false, if(isna(match(K$2, split($G291:$G383,"", "",False),0)),false,true))"),FALSE)</f>
        <v>0</v>
      </c>
      <c r="L291" s="53" t="b">
        <f ca="1">IFERROR(__xludf.DUMMYFUNCTION("if($G291="""",false, if(isna(match(L$2, split($G291:$G383,"", "",False),0)),false,true))"),FALSE)</f>
        <v>0</v>
      </c>
      <c r="M291" s="53" t="b">
        <f ca="1">IFERROR(__xludf.DUMMYFUNCTION("if($G291="""",false, if(isna(match(M$2, split($G291:$G383,"", "",False),0)),false,true))"),FALSE)</f>
        <v>0</v>
      </c>
      <c r="N291" s="53" t="b">
        <f ca="1">IFERROR(__xludf.DUMMYFUNCTION("if($G291="""",false, if(isna(match(N$2, split($G291:$G383,"", "",False),0)),false,true))"),FALSE)</f>
        <v>0</v>
      </c>
      <c r="O291" s="53" t="b">
        <f ca="1">IFERROR(__xludf.DUMMYFUNCTION("if($G291="""",false, if(isna(match(O$2, split($G291:$G383,"", "",False),0)),false,true))"),FALSE)</f>
        <v>0</v>
      </c>
      <c r="P291" s="53" t="b">
        <f ca="1">IFERROR(__xludf.DUMMYFUNCTION("if($G291="""",false, if(isna(match(P$2, split($G291:$G383,"", "",False),0)),false,true))"),FALSE)</f>
        <v>0</v>
      </c>
      <c r="Q291" s="53" t="b">
        <f ca="1">IFERROR(__xludf.DUMMYFUNCTION("if($G291="""",false, if(isna(match(Q$2, split($G291:$G383,"", "",False),0)),false,true))"),FALSE)</f>
        <v>0</v>
      </c>
      <c r="R291" s="53" t="b">
        <f ca="1">IFERROR(__xludf.DUMMYFUNCTION("if($G291="""",false, if(isna(match(R$2, split($G291:$G383,"", "",False),0)),false,true))"),FALSE)</f>
        <v>0</v>
      </c>
      <c r="S291" s="53" t="b">
        <f ca="1">IFERROR(__xludf.DUMMYFUNCTION("if($G291="""",false, if(isna(match(S$2, split($G291:$G383,"", "",False),0)),false,true))"),FALSE)</f>
        <v>0</v>
      </c>
      <c r="T291" s="53" t="b">
        <f ca="1">IFERROR(__xludf.DUMMYFUNCTION("if($G291="""",false, if(isna(match(T$2, split($G291:$G383,"", "",False),0)),false,true))"),FALSE)</f>
        <v>0</v>
      </c>
      <c r="U291" s="53" t="b">
        <f ca="1">IFERROR(__xludf.DUMMYFUNCTION("if($G291="""",false, if(isna(match(U$2, split($G291:$G383,"", "",False),0)),false,true))"),FALSE)</f>
        <v>0</v>
      </c>
      <c r="V291" s="53" t="b">
        <f ca="1">IFERROR(__xludf.DUMMYFUNCTION("if($G291="""",false, if(isna(match(V$2, split($G291:$G383,"", "",False),0)),false,true))"),FALSE)</f>
        <v>0</v>
      </c>
      <c r="W291" s="57" t="b">
        <f ca="1">IFERROR(__xludf.DUMMYFUNCTION("if($G291="""",false, if(isna(match(W$2, split($G291:$G383,"", "",False),0)),false,true))"),FALSE)</f>
        <v>0</v>
      </c>
    </row>
    <row r="292" spans="1:23" ht="42">
      <c r="A292" s="47" t="s">
        <v>841</v>
      </c>
      <c r="B292" s="47" t="s">
        <v>65</v>
      </c>
      <c r="C292" s="49" t="s">
        <v>627</v>
      </c>
      <c r="D292" s="52" t="s">
        <v>756</v>
      </c>
      <c r="E292" s="49" t="s">
        <v>835</v>
      </c>
      <c r="F292" s="52" t="s">
        <v>842</v>
      </c>
      <c r="G292" s="59" t="s">
        <v>197</v>
      </c>
      <c r="H292" s="53" t="b">
        <f ca="1">IFERROR(__xludf.DUMMYFUNCTION("if($G292="""",false, if(isna(match(H$2, split($G292:$G383,"", "",False),0)),false,true))"),FALSE)</f>
        <v>0</v>
      </c>
      <c r="I292" s="53" t="b">
        <f ca="1">IFERROR(__xludf.DUMMYFUNCTION("if($G292="""",false, if(isna(match(I$2, split($G292:$G383,"", "",False),0)),false,true))"),FALSE)</f>
        <v>0</v>
      </c>
      <c r="J292" s="53" t="b">
        <f ca="1">IFERROR(__xludf.DUMMYFUNCTION("if($G292="""",false, if(isna(match(J$2, split($G292:$G383,"", "",False),0)),false,true))"),FALSE)</f>
        <v>0</v>
      </c>
      <c r="K292" s="53" t="b">
        <f ca="1">IFERROR(__xludf.DUMMYFUNCTION("if($G292="""",false, if(isna(match(K$2, split($G292:$G383,"", "",False),0)),false,true))"),FALSE)</f>
        <v>0</v>
      </c>
      <c r="L292" s="53" t="b">
        <f ca="1">IFERROR(__xludf.DUMMYFUNCTION("if($G292="""",false, if(isna(match(L$2, split($G292:$G383,"", "",False),0)),false,true))"),FALSE)</f>
        <v>0</v>
      </c>
      <c r="M292" s="53" t="b">
        <f ca="1">IFERROR(__xludf.DUMMYFUNCTION("if($G292="""",false, if(isna(match(M$2, split($G292:$G383,"", "",False),0)),false,true))"),FALSE)</f>
        <v>0</v>
      </c>
      <c r="N292" s="53" t="b">
        <f ca="1">IFERROR(__xludf.DUMMYFUNCTION("if($G292="""",false, if(isna(match(N$2, split($G292:$G383,"", "",False),0)),false,true))"),FALSE)</f>
        <v>0</v>
      </c>
      <c r="O292" s="53" t="b">
        <f ca="1">IFERROR(__xludf.DUMMYFUNCTION("if($G292="""",false, if(isna(match(O$2, split($G292:$G383,"", "",False),0)),false,true))"),FALSE)</f>
        <v>0</v>
      </c>
      <c r="P292" s="53" t="b">
        <f ca="1">IFERROR(__xludf.DUMMYFUNCTION("if($G292="""",false, if(isna(match(P$2, split($G292:$G383,"", "",False),0)),false,true))"),FALSE)</f>
        <v>0</v>
      </c>
      <c r="Q292" s="53" t="b">
        <f ca="1">IFERROR(__xludf.DUMMYFUNCTION("if($G292="""",false, if(isna(match(Q$2, split($G292:$G383,"", "",False),0)),false,true))"),FALSE)</f>
        <v>0</v>
      </c>
      <c r="R292" s="53" t="b">
        <f ca="1">IFERROR(__xludf.DUMMYFUNCTION("if($G292="""",false, if(isna(match(R$2, split($G292:$G383,"", "",False),0)),false,true))"),FALSE)</f>
        <v>0</v>
      </c>
      <c r="S292" s="53" t="b">
        <f ca="1">IFERROR(__xludf.DUMMYFUNCTION("if($G292="""",false, if(isna(match(S$2, split($G292:$G383,"", "",False),0)),false,true))"),FALSE)</f>
        <v>0</v>
      </c>
      <c r="T292" s="53" t="b">
        <f ca="1">IFERROR(__xludf.DUMMYFUNCTION("if($G292="""",false, if(isna(match(T$2, split($G292:$G383,"", "",False),0)),false,true))"),FALSE)</f>
        <v>0</v>
      </c>
      <c r="U292" s="53" t="b">
        <f ca="1">IFERROR(__xludf.DUMMYFUNCTION("if($G292="""",false, if(isna(match(U$2, split($G292:$G383,"", "",False),0)),false,true))"),FALSE)</f>
        <v>0</v>
      </c>
      <c r="V292" s="53" t="b">
        <f ca="1">IFERROR(__xludf.DUMMYFUNCTION("if($G292="""",false, if(isna(match(V$2, split($G292:$G383,"", "",False),0)),false,true))"),FALSE)</f>
        <v>0</v>
      </c>
      <c r="W292" s="57" t="b">
        <f ca="1">IFERROR(__xludf.DUMMYFUNCTION("if($G292="""",false, if(isna(match(W$2, split($G292:$G383,"", "",False),0)),false,true))"),FALSE)</f>
        <v>0</v>
      </c>
    </row>
    <row r="293" spans="1:23" ht="42">
      <c r="A293" s="47" t="s">
        <v>843</v>
      </c>
      <c r="B293" s="47" t="s">
        <v>65</v>
      </c>
      <c r="C293" s="49" t="s">
        <v>627</v>
      </c>
      <c r="D293" s="52" t="s">
        <v>756</v>
      </c>
      <c r="E293" s="49" t="s">
        <v>835</v>
      </c>
      <c r="F293" s="52" t="s">
        <v>844</v>
      </c>
      <c r="G293" s="59"/>
      <c r="H293" s="53" t="b">
        <f ca="1">IFERROR(__xludf.DUMMYFUNCTION("if($G293="""",false, if(isna(match(H$2, split($G293:$G383,"", "",False),0)),false,true))"),FALSE)</f>
        <v>0</v>
      </c>
      <c r="I293" s="53" t="b">
        <f ca="1">IFERROR(__xludf.DUMMYFUNCTION("if($G293="""",false, if(isna(match(I$2, split($G293:$G383,"", "",False),0)),false,true))"),FALSE)</f>
        <v>0</v>
      </c>
      <c r="J293" s="53" t="b">
        <f ca="1">IFERROR(__xludf.DUMMYFUNCTION("if($G293="""",false, if(isna(match(J$2, split($G293:$G383,"", "",False),0)),false,true))"),FALSE)</f>
        <v>0</v>
      </c>
      <c r="K293" s="53" t="b">
        <f ca="1">IFERROR(__xludf.DUMMYFUNCTION("if($G293="""",false, if(isna(match(K$2, split($G293:$G383,"", "",False),0)),false,true))"),FALSE)</f>
        <v>0</v>
      </c>
      <c r="L293" s="53" t="b">
        <f ca="1">IFERROR(__xludf.DUMMYFUNCTION("if($G293="""",false, if(isna(match(L$2, split($G293:$G383,"", "",False),0)),false,true))"),FALSE)</f>
        <v>0</v>
      </c>
      <c r="M293" s="53" t="b">
        <f ca="1">IFERROR(__xludf.DUMMYFUNCTION("if($G293="""",false, if(isna(match(M$2, split($G293:$G383,"", "",False),0)),false,true))"),FALSE)</f>
        <v>0</v>
      </c>
      <c r="N293" s="53" t="b">
        <f ca="1">IFERROR(__xludf.DUMMYFUNCTION("if($G293="""",false, if(isna(match(N$2, split($G293:$G383,"", "",False),0)),false,true))"),FALSE)</f>
        <v>0</v>
      </c>
      <c r="O293" s="53" t="b">
        <f ca="1">IFERROR(__xludf.DUMMYFUNCTION("if($G293="""",false, if(isna(match(O$2, split($G293:$G383,"", "",False),0)),false,true))"),FALSE)</f>
        <v>0</v>
      </c>
      <c r="P293" s="53" t="b">
        <f ca="1">IFERROR(__xludf.DUMMYFUNCTION("if($G293="""",false, if(isna(match(P$2, split($G293:$G383,"", "",False),0)),false,true))"),FALSE)</f>
        <v>0</v>
      </c>
      <c r="Q293" s="53" t="b">
        <f ca="1">IFERROR(__xludf.DUMMYFUNCTION("if($G293="""",false, if(isna(match(Q$2, split($G293:$G383,"", "",False),0)),false,true))"),FALSE)</f>
        <v>0</v>
      </c>
      <c r="R293" s="53" t="b">
        <f ca="1">IFERROR(__xludf.DUMMYFUNCTION("if($G293="""",false, if(isna(match(R$2, split($G293:$G383,"", "",False),0)),false,true))"),FALSE)</f>
        <v>0</v>
      </c>
      <c r="S293" s="53" t="b">
        <f ca="1">IFERROR(__xludf.DUMMYFUNCTION("if($G293="""",false, if(isna(match(S$2, split($G293:$G383,"", "",False),0)),false,true))"),FALSE)</f>
        <v>0</v>
      </c>
      <c r="T293" s="53" t="b">
        <f ca="1">IFERROR(__xludf.DUMMYFUNCTION("if($G293="""",false, if(isna(match(T$2, split($G293:$G383,"", "",False),0)),false,true))"),FALSE)</f>
        <v>0</v>
      </c>
      <c r="U293" s="53" t="b">
        <f ca="1">IFERROR(__xludf.DUMMYFUNCTION("if($G293="""",false, if(isna(match(U$2, split($G293:$G383,"", "",False),0)),false,true))"),FALSE)</f>
        <v>0</v>
      </c>
      <c r="V293" s="53" t="b">
        <f ca="1">IFERROR(__xludf.DUMMYFUNCTION("if($G293="""",false, if(isna(match(V$2, split($G293:$G383,"", "",False),0)),false,true))"),FALSE)</f>
        <v>0</v>
      </c>
      <c r="W293" s="57" t="b">
        <f ca="1">IFERROR(__xludf.DUMMYFUNCTION("if($G293="""",false, if(isna(match(W$2, split($G293:$G383,"", "",False),0)),false,true))"),FALSE)</f>
        <v>0</v>
      </c>
    </row>
    <row r="294" spans="1:23" ht="28">
      <c r="A294" s="47" t="s">
        <v>845</v>
      </c>
      <c r="B294" s="47" t="s">
        <v>65</v>
      </c>
      <c r="C294" s="49" t="s">
        <v>627</v>
      </c>
      <c r="D294" s="52" t="s">
        <v>756</v>
      </c>
      <c r="E294" s="49" t="s">
        <v>835</v>
      </c>
      <c r="F294" s="52" t="s">
        <v>846</v>
      </c>
      <c r="G294" s="59" t="s">
        <v>197</v>
      </c>
      <c r="H294" s="53" t="b">
        <f ca="1">IFERROR(__xludf.DUMMYFUNCTION("if($G294="""",false, if(isna(match(H$2, split($G294:$G383,"", "",False),0)),false,true))"),FALSE)</f>
        <v>0</v>
      </c>
      <c r="I294" s="53" t="b">
        <f ca="1">IFERROR(__xludf.DUMMYFUNCTION("if($G294="""",false, if(isna(match(I$2, split($G294:$G383,"", "",False),0)),false,true))"),FALSE)</f>
        <v>0</v>
      </c>
      <c r="J294" s="53" t="b">
        <f ca="1">IFERROR(__xludf.DUMMYFUNCTION("if($G294="""",false, if(isna(match(J$2, split($G294:$G383,"", "",False),0)),false,true))"),FALSE)</f>
        <v>0</v>
      </c>
      <c r="K294" s="53" t="b">
        <f ca="1">IFERROR(__xludf.DUMMYFUNCTION("if($G294="""",false, if(isna(match(K$2, split($G294:$G383,"", "",False),0)),false,true))"),FALSE)</f>
        <v>0</v>
      </c>
      <c r="L294" s="53" t="b">
        <f ca="1">IFERROR(__xludf.DUMMYFUNCTION("if($G294="""",false, if(isna(match(L$2, split($G294:$G383,"", "",False),0)),false,true))"),FALSE)</f>
        <v>0</v>
      </c>
      <c r="M294" s="53" t="b">
        <f ca="1">IFERROR(__xludf.DUMMYFUNCTION("if($G294="""",false, if(isna(match(M$2, split($G294:$G383,"", "",False),0)),false,true))"),FALSE)</f>
        <v>0</v>
      </c>
      <c r="N294" s="53" t="b">
        <f ca="1">IFERROR(__xludf.DUMMYFUNCTION("if($G294="""",false, if(isna(match(N$2, split($G294:$G383,"", "",False),0)),false,true))"),FALSE)</f>
        <v>0</v>
      </c>
      <c r="O294" s="53" t="b">
        <f ca="1">IFERROR(__xludf.DUMMYFUNCTION("if($G294="""",false, if(isna(match(O$2, split($G294:$G383,"", "",False),0)),false,true))"),FALSE)</f>
        <v>0</v>
      </c>
      <c r="P294" s="53" t="b">
        <f ca="1">IFERROR(__xludf.DUMMYFUNCTION("if($G294="""",false, if(isna(match(P$2, split($G294:$G383,"", "",False),0)),false,true))"),FALSE)</f>
        <v>0</v>
      </c>
      <c r="Q294" s="53" t="b">
        <f ca="1">IFERROR(__xludf.DUMMYFUNCTION("if($G294="""",false, if(isna(match(Q$2, split($G294:$G383,"", "",False),0)),false,true))"),FALSE)</f>
        <v>0</v>
      </c>
      <c r="R294" s="53" t="b">
        <f ca="1">IFERROR(__xludf.DUMMYFUNCTION("if($G294="""",false, if(isna(match(R$2, split($G294:$G383,"", "",False),0)),false,true))"),FALSE)</f>
        <v>0</v>
      </c>
      <c r="S294" s="53" t="b">
        <f ca="1">IFERROR(__xludf.DUMMYFUNCTION("if($G294="""",false, if(isna(match(S$2, split($G294:$G383,"", "",False),0)),false,true))"),FALSE)</f>
        <v>0</v>
      </c>
      <c r="T294" s="53" t="b">
        <f ca="1">IFERROR(__xludf.DUMMYFUNCTION("if($G294="""",false, if(isna(match(T$2, split($G294:$G383,"", "",False),0)),false,true))"),FALSE)</f>
        <v>0</v>
      </c>
      <c r="U294" s="53" t="b">
        <f ca="1">IFERROR(__xludf.DUMMYFUNCTION("if($G294="""",false, if(isna(match(U$2, split($G294:$G383,"", "",False),0)),false,true))"),FALSE)</f>
        <v>0</v>
      </c>
      <c r="V294" s="53" t="b">
        <f ca="1">IFERROR(__xludf.DUMMYFUNCTION("if($G294="""",false, if(isna(match(V$2, split($G294:$G383,"", "",False),0)),false,true))"),FALSE)</f>
        <v>0</v>
      </c>
      <c r="W294" s="57" t="b">
        <f ca="1">IFERROR(__xludf.DUMMYFUNCTION("if($G294="""",false, if(isna(match(W$2, split($G294:$G383,"", "",False),0)),false,true))"),FALSE)</f>
        <v>0</v>
      </c>
    </row>
    <row r="295" spans="1:23" ht="28">
      <c r="A295" s="47" t="s">
        <v>847</v>
      </c>
      <c r="B295" s="47" t="s">
        <v>65</v>
      </c>
      <c r="C295" s="49" t="s">
        <v>627</v>
      </c>
      <c r="D295" s="52" t="s">
        <v>756</v>
      </c>
      <c r="E295" s="49" t="s">
        <v>835</v>
      </c>
      <c r="F295" s="52" t="s">
        <v>848</v>
      </c>
      <c r="G295" s="59"/>
      <c r="H295" s="53" t="b">
        <f ca="1">IFERROR(__xludf.DUMMYFUNCTION("if($G295="""",false, if(isna(match(H$2, split($G295:$G383,"", "",False),0)),false,true))"),FALSE)</f>
        <v>0</v>
      </c>
      <c r="I295" s="53" t="b">
        <f ca="1">IFERROR(__xludf.DUMMYFUNCTION("if($G295="""",false, if(isna(match(I$2, split($G295:$G383,"", "",False),0)),false,true))"),FALSE)</f>
        <v>0</v>
      </c>
      <c r="J295" s="53" t="b">
        <f ca="1">IFERROR(__xludf.DUMMYFUNCTION("if($G295="""",false, if(isna(match(J$2, split($G295:$G383,"", "",False),0)),false,true))"),FALSE)</f>
        <v>0</v>
      </c>
      <c r="K295" s="53" t="b">
        <f ca="1">IFERROR(__xludf.DUMMYFUNCTION("if($G295="""",false, if(isna(match(K$2, split($G295:$G383,"", "",False),0)),false,true))"),FALSE)</f>
        <v>0</v>
      </c>
      <c r="L295" s="53" t="b">
        <f ca="1">IFERROR(__xludf.DUMMYFUNCTION("if($G295="""",false, if(isna(match(L$2, split($G295:$G383,"", "",False),0)),false,true))"),FALSE)</f>
        <v>0</v>
      </c>
      <c r="M295" s="53" t="b">
        <f ca="1">IFERROR(__xludf.DUMMYFUNCTION("if($G295="""",false, if(isna(match(M$2, split($G295:$G383,"", "",False),0)),false,true))"),FALSE)</f>
        <v>0</v>
      </c>
      <c r="N295" s="53" t="b">
        <f ca="1">IFERROR(__xludf.DUMMYFUNCTION("if($G295="""",false, if(isna(match(N$2, split($G295:$G383,"", "",False),0)),false,true))"),FALSE)</f>
        <v>0</v>
      </c>
      <c r="O295" s="53" t="b">
        <f ca="1">IFERROR(__xludf.DUMMYFUNCTION("if($G295="""",false, if(isna(match(O$2, split($G295:$G383,"", "",False),0)),false,true))"),FALSE)</f>
        <v>0</v>
      </c>
      <c r="P295" s="53" t="b">
        <f ca="1">IFERROR(__xludf.DUMMYFUNCTION("if($G295="""",false, if(isna(match(P$2, split($G295:$G383,"", "",False),0)),false,true))"),FALSE)</f>
        <v>0</v>
      </c>
      <c r="Q295" s="53" t="b">
        <f ca="1">IFERROR(__xludf.DUMMYFUNCTION("if($G295="""",false, if(isna(match(Q$2, split($G295:$G383,"", "",False),0)),false,true))"),FALSE)</f>
        <v>0</v>
      </c>
      <c r="R295" s="53" t="b">
        <f ca="1">IFERROR(__xludf.DUMMYFUNCTION("if($G295="""",false, if(isna(match(R$2, split($G295:$G383,"", "",False),0)),false,true))"),FALSE)</f>
        <v>0</v>
      </c>
      <c r="S295" s="53" t="b">
        <f ca="1">IFERROR(__xludf.DUMMYFUNCTION("if($G295="""",false, if(isna(match(S$2, split($G295:$G383,"", "",False),0)),false,true))"),FALSE)</f>
        <v>0</v>
      </c>
      <c r="T295" s="53" t="b">
        <f ca="1">IFERROR(__xludf.DUMMYFUNCTION("if($G295="""",false, if(isna(match(T$2, split($G295:$G383,"", "",False),0)),false,true))"),FALSE)</f>
        <v>0</v>
      </c>
      <c r="U295" s="53" t="b">
        <f ca="1">IFERROR(__xludf.DUMMYFUNCTION("if($G295="""",false, if(isna(match(U$2, split($G295:$G383,"", "",False),0)),false,true))"),FALSE)</f>
        <v>0</v>
      </c>
      <c r="V295" s="53" t="b">
        <f ca="1">IFERROR(__xludf.DUMMYFUNCTION("if($G295="""",false, if(isna(match(V$2, split($G295:$G383,"", "",False),0)),false,true))"),FALSE)</f>
        <v>0</v>
      </c>
      <c r="W295" s="57" t="b">
        <f ca="1">IFERROR(__xludf.DUMMYFUNCTION("if($G295="""",false, if(isna(match(W$2, split($G295:$G383,"", "",False),0)),false,true))"),FALSE)</f>
        <v>0</v>
      </c>
    </row>
    <row r="296" spans="1:23" ht="28">
      <c r="A296" s="47" t="s">
        <v>849</v>
      </c>
      <c r="B296" s="47" t="s">
        <v>63</v>
      </c>
      <c r="C296" s="49" t="s">
        <v>850</v>
      </c>
      <c r="D296" s="52" t="s">
        <v>851</v>
      </c>
      <c r="E296" s="49" t="s">
        <v>852</v>
      </c>
      <c r="F296" s="52" t="s">
        <v>853</v>
      </c>
      <c r="G296" s="59" t="s">
        <v>109</v>
      </c>
      <c r="H296" s="53" t="b">
        <f ca="1">IFERROR(__xludf.DUMMYFUNCTION("if($G296="""",false, if(isna(match(H$2, split($G296:$G383,"", "",False),0)),false,true))"),FALSE)</f>
        <v>0</v>
      </c>
      <c r="I296" s="53" t="b">
        <f ca="1">IFERROR(__xludf.DUMMYFUNCTION("if($G296="""",false, if(isna(match(I$2, split($G296:$G383,"", "",False),0)),false,true))"),TRUE)</f>
        <v>1</v>
      </c>
      <c r="J296" s="53" t="b">
        <f ca="1">IFERROR(__xludf.DUMMYFUNCTION("if($G296="""",false, if(isna(match(J$2, split($G296:$G383,"", "",False),0)),false,true))"),FALSE)</f>
        <v>0</v>
      </c>
      <c r="K296" s="53" t="b">
        <f ca="1">IFERROR(__xludf.DUMMYFUNCTION("if($G296="""",false, if(isna(match(K$2, split($G296:$G383,"", "",False),0)),false,true))"),FALSE)</f>
        <v>0</v>
      </c>
      <c r="L296" s="53" t="b">
        <f ca="1">IFERROR(__xludf.DUMMYFUNCTION("if($G296="""",false, if(isna(match(L$2, split($G296:$G383,"", "",False),0)),false,true))"),FALSE)</f>
        <v>0</v>
      </c>
      <c r="M296" s="53" t="b">
        <f ca="1">IFERROR(__xludf.DUMMYFUNCTION("if($G296="""",false, if(isna(match(M$2, split($G296:$G383,"", "",False),0)),false,true))"),FALSE)</f>
        <v>0</v>
      </c>
      <c r="N296" s="53" t="b">
        <f ca="1">IFERROR(__xludf.DUMMYFUNCTION("if($G296="""",false, if(isna(match(N$2, split($G296:$G383,"", "",False),0)),false,true))"),FALSE)</f>
        <v>0</v>
      </c>
      <c r="O296" s="53" t="b">
        <f ca="1">IFERROR(__xludf.DUMMYFUNCTION("if($G296="""",false, if(isna(match(O$2, split($G296:$G383,"", "",False),0)),false,true))"),FALSE)</f>
        <v>0</v>
      </c>
      <c r="P296" s="53" t="b">
        <f ca="1">IFERROR(__xludf.DUMMYFUNCTION("if($G296="""",false, if(isna(match(P$2, split($G296:$G383,"", "",False),0)),false,true))"),FALSE)</f>
        <v>0</v>
      </c>
      <c r="Q296" s="53" t="b">
        <f ca="1">IFERROR(__xludf.DUMMYFUNCTION("if($G296="""",false, if(isna(match(Q$2, split($G296:$G383,"", "",False),0)),false,true))"),FALSE)</f>
        <v>0</v>
      </c>
      <c r="R296" s="53" t="b">
        <f ca="1">IFERROR(__xludf.DUMMYFUNCTION("if($G296="""",false, if(isna(match(R$2, split($G296:$G383,"", "",False),0)),false,true))"),FALSE)</f>
        <v>0</v>
      </c>
      <c r="S296" s="53" t="b">
        <f ca="1">IFERROR(__xludf.DUMMYFUNCTION("if($G296="""",false, if(isna(match(S$2, split($G296:$G383,"", "",False),0)),false,true))"),FALSE)</f>
        <v>0</v>
      </c>
      <c r="T296" s="53" t="b">
        <f ca="1">IFERROR(__xludf.DUMMYFUNCTION("if($G296="""",false, if(isna(match(T$2, split($G296:$G383,"", "",False),0)),false,true))"),FALSE)</f>
        <v>0</v>
      </c>
      <c r="U296" s="53" t="b">
        <f ca="1">IFERROR(__xludf.DUMMYFUNCTION("if($G296="""",false, if(isna(match(U$2, split($G296:$G383,"", "",False),0)),false,true))"),FALSE)</f>
        <v>0</v>
      </c>
      <c r="V296" s="53" t="b">
        <f ca="1">IFERROR(__xludf.DUMMYFUNCTION("if($G296="""",false, if(isna(match(V$2, split($G296:$G383,"", "",False),0)),false,true))"),FALSE)</f>
        <v>0</v>
      </c>
      <c r="W296" s="57" t="b">
        <f ca="1">IFERROR(__xludf.DUMMYFUNCTION("if($G296="""",false, if(isna(match(W$2, split($G296:$G383,"", "",False),0)),false,true))"),FALSE)</f>
        <v>0</v>
      </c>
    </row>
    <row r="297" spans="1:23" ht="70">
      <c r="A297" s="47" t="s">
        <v>854</v>
      </c>
      <c r="B297" s="47" t="s">
        <v>63</v>
      </c>
      <c r="C297" s="49" t="s">
        <v>850</v>
      </c>
      <c r="D297" s="52" t="s">
        <v>851</v>
      </c>
      <c r="E297" s="49" t="s">
        <v>852</v>
      </c>
      <c r="F297" s="52" t="s">
        <v>855</v>
      </c>
      <c r="G297" s="59" t="s">
        <v>109</v>
      </c>
      <c r="H297" s="53" t="b">
        <f ca="1">IFERROR(__xludf.DUMMYFUNCTION("if($G297="""",false, if(isna(match(H$2, split($G297:$G383,"", "",False),0)),false,true))"),FALSE)</f>
        <v>0</v>
      </c>
      <c r="I297" s="53" t="b">
        <f ca="1">IFERROR(__xludf.DUMMYFUNCTION("if($G297="""",false, if(isna(match(I$2, split($G297:$G383,"", "",False),0)),false,true))"),TRUE)</f>
        <v>1</v>
      </c>
      <c r="J297" s="53" t="b">
        <f ca="1">IFERROR(__xludf.DUMMYFUNCTION("if($G297="""",false, if(isna(match(J$2, split($G297:$G383,"", "",False),0)),false,true))"),FALSE)</f>
        <v>0</v>
      </c>
      <c r="K297" s="53" t="b">
        <f ca="1">IFERROR(__xludf.DUMMYFUNCTION("if($G297="""",false, if(isna(match(K$2, split($G297:$G383,"", "",False),0)),false,true))"),FALSE)</f>
        <v>0</v>
      </c>
      <c r="L297" s="53" t="b">
        <f ca="1">IFERROR(__xludf.DUMMYFUNCTION("if($G297="""",false, if(isna(match(L$2, split($G297:$G383,"", "",False),0)),false,true))"),FALSE)</f>
        <v>0</v>
      </c>
      <c r="M297" s="53" t="b">
        <f ca="1">IFERROR(__xludf.DUMMYFUNCTION("if($G297="""",false, if(isna(match(M$2, split($G297:$G383,"", "",False),0)),false,true))"),FALSE)</f>
        <v>0</v>
      </c>
      <c r="N297" s="53" t="b">
        <f ca="1">IFERROR(__xludf.DUMMYFUNCTION("if($G297="""",false, if(isna(match(N$2, split($G297:$G383,"", "",False),0)),false,true))"),FALSE)</f>
        <v>0</v>
      </c>
      <c r="O297" s="53" t="b">
        <f ca="1">IFERROR(__xludf.DUMMYFUNCTION("if($G297="""",false, if(isna(match(O$2, split($G297:$G383,"", "",False),0)),false,true))"),FALSE)</f>
        <v>0</v>
      </c>
      <c r="P297" s="53" t="b">
        <f ca="1">IFERROR(__xludf.DUMMYFUNCTION("if($G297="""",false, if(isna(match(P$2, split($G297:$G383,"", "",False),0)),false,true))"),FALSE)</f>
        <v>0</v>
      </c>
      <c r="Q297" s="53" t="b">
        <f ca="1">IFERROR(__xludf.DUMMYFUNCTION("if($G297="""",false, if(isna(match(Q$2, split($G297:$G383,"", "",False),0)),false,true))"),FALSE)</f>
        <v>0</v>
      </c>
      <c r="R297" s="53" t="b">
        <f ca="1">IFERROR(__xludf.DUMMYFUNCTION("if($G297="""",false, if(isna(match(R$2, split($G297:$G383,"", "",False),0)),false,true))"),FALSE)</f>
        <v>0</v>
      </c>
      <c r="S297" s="53" t="b">
        <f ca="1">IFERROR(__xludf.DUMMYFUNCTION("if($G297="""",false, if(isna(match(S$2, split($G297:$G383,"", "",False),0)),false,true))"),FALSE)</f>
        <v>0</v>
      </c>
      <c r="T297" s="53" t="b">
        <f ca="1">IFERROR(__xludf.DUMMYFUNCTION("if($G297="""",false, if(isna(match(T$2, split($G297:$G383,"", "",False),0)),false,true))"),FALSE)</f>
        <v>0</v>
      </c>
      <c r="U297" s="53" t="b">
        <f ca="1">IFERROR(__xludf.DUMMYFUNCTION("if($G297="""",false, if(isna(match(U$2, split($G297:$G383,"", "",False),0)),false,true))"),FALSE)</f>
        <v>0</v>
      </c>
      <c r="V297" s="53" t="b">
        <f ca="1">IFERROR(__xludf.DUMMYFUNCTION("if($G297="""",false, if(isna(match(V$2, split($G297:$G383,"", "",False),0)),false,true))"),FALSE)</f>
        <v>0</v>
      </c>
      <c r="W297" s="57" t="b">
        <f ca="1">IFERROR(__xludf.DUMMYFUNCTION("if($G297="""",false, if(isna(match(W$2, split($G297:$G383,"", "",False),0)),false,true))"),FALSE)</f>
        <v>0</v>
      </c>
    </row>
    <row r="298" spans="1:23" ht="70">
      <c r="A298" s="47" t="s">
        <v>856</v>
      </c>
      <c r="B298" s="47" t="s">
        <v>63</v>
      </c>
      <c r="C298" s="49" t="s">
        <v>850</v>
      </c>
      <c r="D298" s="52" t="s">
        <v>851</v>
      </c>
      <c r="E298" s="49" t="s">
        <v>852</v>
      </c>
      <c r="F298" s="52" t="s">
        <v>857</v>
      </c>
      <c r="G298" s="59" t="s">
        <v>109</v>
      </c>
      <c r="H298" s="53" t="b">
        <f ca="1">IFERROR(__xludf.DUMMYFUNCTION("if($G298="""",false, if(isna(match(H$2, split($G298:$G383,"", "",False),0)),false,true))"),FALSE)</f>
        <v>0</v>
      </c>
      <c r="I298" s="53" t="b">
        <f ca="1">IFERROR(__xludf.DUMMYFUNCTION("if($G298="""",false, if(isna(match(I$2, split($G298:$G383,"", "",False),0)),false,true))"),TRUE)</f>
        <v>1</v>
      </c>
      <c r="J298" s="53" t="b">
        <f ca="1">IFERROR(__xludf.DUMMYFUNCTION("if($G298="""",false, if(isna(match(J$2, split($G298:$G383,"", "",False),0)),false,true))"),FALSE)</f>
        <v>0</v>
      </c>
      <c r="K298" s="53" t="b">
        <f ca="1">IFERROR(__xludf.DUMMYFUNCTION("if($G298="""",false, if(isna(match(K$2, split($G298:$G383,"", "",False),0)),false,true))"),FALSE)</f>
        <v>0</v>
      </c>
      <c r="L298" s="53" t="b">
        <f ca="1">IFERROR(__xludf.DUMMYFUNCTION("if($G298="""",false, if(isna(match(L$2, split($G298:$G383,"", "",False),0)),false,true))"),FALSE)</f>
        <v>0</v>
      </c>
      <c r="M298" s="53" t="b">
        <f ca="1">IFERROR(__xludf.DUMMYFUNCTION("if($G298="""",false, if(isna(match(M$2, split($G298:$G383,"", "",False),0)),false,true))"),FALSE)</f>
        <v>0</v>
      </c>
      <c r="N298" s="53" t="b">
        <f ca="1">IFERROR(__xludf.DUMMYFUNCTION("if($G298="""",false, if(isna(match(N$2, split($G298:$G383,"", "",False),0)),false,true))"),FALSE)</f>
        <v>0</v>
      </c>
      <c r="O298" s="53" t="b">
        <f ca="1">IFERROR(__xludf.DUMMYFUNCTION("if($G298="""",false, if(isna(match(O$2, split($G298:$G383,"", "",False),0)),false,true))"),FALSE)</f>
        <v>0</v>
      </c>
      <c r="P298" s="53" t="b">
        <f ca="1">IFERROR(__xludf.DUMMYFUNCTION("if($G298="""",false, if(isna(match(P$2, split($G298:$G383,"", "",False),0)),false,true))"),FALSE)</f>
        <v>0</v>
      </c>
      <c r="Q298" s="53" t="b">
        <f ca="1">IFERROR(__xludf.DUMMYFUNCTION("if($G298="""",false, if(isna(match(Q$2, split($G298:$G383,"", "",False),0)),false,true))"),FALSE)</f>
        <v>0</v>
      </c>
      <c r="R298" s="53" t="b">
        <f ca="1">IFERROR(__xludf.DUMMYFUNCTION("if($G298="""",false, if(isna(match(R$2, split($G298:$G383,"", "",False),0)),false,true))"),FALSE)</f>
        <v>0</v>
      </c>
      <c r="S298" s="53" t="b">
        <f ca="1">IFERROR(__xludf.DUMMYFUNCTION("if($G298="""",false, if(isna(match(S$2, split($G298:$G383,"", "",False),0)),false,true))"),FALSE)</f>
        <v>0</v>
      </c>
      <c r="T298" s="53" t="b">
        <f ca="1">IFERROR(__xludf.DUMMYFUNCTION("if($G298="""",false, if(isna(match(T$2, split($G298:$G383,"", "",False),0)),false,true))"),FALSE)</f>
        <v>0</v>
      </c>
      <c r="U298" s="53" t="b">
        <f ca="1">IFERROR(__xludf.DUMMYFUNCTION("if($G298="""",false, if(isna(match(U$2, split($G298:$G383,"", "",False),0)),false,true))"),FALSE)</f>
        <v>0</v>
      </c>
      <c r="V298" s="53" t="b">
        <f ca="1">IFERROR(__xludf.DUMMYFUNCTION("if($G298="""",false, if(isna(match(V$2, split($G298:$G383,"", "",False),0)),false,true))"),FALSE)</f>
        <v>0</v>
      </c>
      <c r="W298" s="57" t="b">
        <f ca="1">IFERROR(__xludf.DUMMYFUNCTION("if($G298="""",false, if(isna(match(W$2, split($G298:$G383,"", "",False),0)),false,true))"),FALSE)</f>
        <v>0</v>
      </c>
    </row>
    <row r="299" spans="1:23" ht="70">
      <c r="A299" s="47" t="s">
        <v>858</v>
      </c>
      <c r="B299" s="47" t="s">
        <v>63</v>
      </c>
      <c r="C299" s="49" t="s">
        <v>850</v>
      </c>
      <c r="D299" s="52" t="s">
        <v>851</v>
      </c>
      <c r="E299" s="49" t="s">
        <v>859</v>
      </c>
      <c r="F299" s="52" t="s">
        <v>860</v>
      </c>
      <c r="G299" s="59" t="s">
        <v>109</v>
      </c>
      <c r="H299" s="53" t="b">
        <f ca="1">IFERROR(__xludf.DUMMYFUNCTION("if($G299="""",false, if(isna(match(H$2, split($G299:$G383,"", "",False),0)),false,true))"),FALSE)</f>
        <v>0</v>
      </c>
      <c r="I299" s="53" t="b">
        <f ca="1">IFERROR(__xludf.DUMMYFUNCTION("if($G299="""",false, if(isna(match(I$2, split($G299:$G383,"", "",False),0)),false,true))"),TRUE)</f>
        <v>1</v>
      </c>
      <c r="J299" s="53" t="b">
        <f ca="1">IFERROR(__xludf.DUMMYFUNCTION("if($G299="""",false, if(isna(match(J$2, split($G299:$G383,"", "",False),0)),false,true))"),FALSE)</f>
        <v>0</v>
      </c>
      <c r="K299" s="53" t="b">
        <f ca="1">IFERROR(__xludf.DUMMYFUNCTION("if($G299="""",false, if(isna(match(K$2, split($G299:$G383,"", "",False),0)),false,true))"),FALSE)</f>
        <v>0</v>
      </c>
      <c r="L299" s="53" t="b">
        <f ca="1">IFERROR(__xludf.DUMMYFUNCTION("if($G299="""",false, if(isna(match(L$2, split($G299:$G383,"", "",False),0)),false,true))"),FALSE)</f>
        <v>0</v>
      </c>
      <c r="M299" s="53" t="b">
        <f ca="1">IFERROR(__xludf.DUMMYFUNCTION("if($G299="""",false, if(isna(match(M$2, split($G299:$G383,"", "",False),0)),false,true))"),FALSE)</f>
        <v>0</v>
      </c>
      <c r="N299" s="53" t="b">
        <f ca="1">IFERROR(__xludf.DUMMYFUNCTION("if($G299="""",false, if(isna(match(N$2, split($G299:$G383,"", "",False),0)),false,true))"),FALSE)</f>
        <v>0</v>
      </c>
      <c r="O299" s="53" t="b">
        <f ca="1">IFERROR(__xludf.DUMMYFUNCTION("if($G299="""",false, if(isna(match(O$2, split($G299:$G383,"", "",False),0)),false,true))"),FALSE)</f>
        <v>0</v>
      </c>
      <c r="P299" s="53" t="b">
        <f ca="1">IFERROR(__xludf.DUMMYFUNCTION("if($G299="""",false, if(isna(match(P$2, split($G299:$G383,"", "",False),0)),false,true))"),FALSE)</f>
        <v>0</v>
      </c>
      <c r="Q299" s="53" t="b">
        <f ca="1">IFERROR(__xludf.DUMMYFUNCTION("if($G299="""",false, if(isna(match(Q$2, split($G299:$G383,"", "",False),0)),false,true))"),FALSE)</f>
        <v>0</v>
      </c>
      <c r="R299" s="53" t="b">
        <f ca="1">IFERROR(__xludf.DUMMYFUNCTION("if($G299="""",false, if(isna(match(R$2, split($G299:$G383,"", "",False),0)),false,true))"),FALSE)</f>
        <v>0</v>
      </c>
      <c r="S299" s="53" t="b">
        <f ca="1">IFERROR(__xludf.DUMMYFUNCTION("if($G299="""",false, if(isna(match(S$2, split($G299:$G383,"", "",False),0)),false,true))"),FALSE)</f>
        <v>0</v>
      </c>
      <c r="T299" s="53" t="b">
        <f ca="1">IFERROR(__xludf.DUMMYFUNCTION("if($G299="""",false, if(isna(match(T$2, split($G299:$G383,"", "",False),0)),false,true))"),FALSE)</f>
        <v>0</v>
      </c>
      <c r="U299" s="53" t="b">
        <f ca="1">IFERROR(__xludf.DUMMYFUNCTION("if($G299="""",false, if(isna(match(U$2, split($G299:$G383,"", "",False),0)),false,true))"),FALSE)</f>
        <v>0</v>
      </c>
      <c r="V299" s="53" t="b">
        <f ca="1">IFERROR(__xludf.DUMMYFUNCTION("if($G299="""",false, if(isna(match(V$2, split($G299:$G383,"", "",False),0)),false,true))"),FALSE)</f>
        <v>0</v>
      </c>
      <c r="W299" s="57" t="b">
        <f ca="1">IFERROR(__xludf.DUMMYFUNCTION("if($G299="""",false, if(isna(match(W$2, split($G299:$G383,"", "",False),0)),false,true))"),FALSE)</f>
        <v>0</v>
      </c>
    </row>
    <row r="300" spans="1:23" ht="28">
      <c r="A300" s="47" t="s">
        <v>861</v>
      </c>
      <c r="B300" s="47" t="s">
        <v>63</v>
      </c>
      <c r="C300" s="49" t="s">
        <v>850</v>
      </c>
      <c r="D300" s="52" t="s">
        <v>851</v>
      </c>
      <c r="E300" s="49" t="s">
        <v>612</v>
      </c>
      <c r="F300" s="52" t="s">
        <v>862</v>
      </c>
      <c r="G300" s="59" t="s">
        <v>123</v>
      </c>
      <c r="H300" s="53" t="b">
        <f ca="1">IFERROR(__xludf.DUMMYFUNCTION("if($G300="""",false, if(isna(match(H$2, split($G300:$G383,"", "",False),0)),false,true))"),FALSE)</f>
        <v>0</v>
      </c>
      <c r="I300" s="53" t="b">
        <f ca="1">IFERROR(__xludf.DUMMYFUNCTION("if($G300="""",false, if(isna(match(I$2, split($G300:$G383,"", "",False),0)),false,true))"),FALSE)</f>
        <v>0</v>
      </c>
      <c r="J300" s="53" t="b">
        <f ca="1">IFERROR(__xludf.DUMMYFUNCTION("if($G300="""",false, if(isna(match(J$2, split($G300:$G383,"", "",False),0)),false,true))"),FALSE)</f>
        <v>0</v>
      </c>
      <c r="K300" s="53" t="b">
        <f ca="1">IFERROR(__xludf.DUMMYFUNCTION("if($G300="""",false, if(isna(match(K$2, split($G300:$G383,"", "",False),0)),false,true))"),FALSE)</f>
        <v>0</v>
      </c>
      <c r="L300" s="53" t="b">
        <f ca="1">IFERROR(__xludf.DUMMYFUNCTION("if($G300="""",false, if(isna(match(L$2, split($G300:$G383,"", "",False),0)),false,true))"),FALSE)</f>
        <v>0</v>
      </c>
      <c r="M300" s="53" t="b">
        <f ca="1">IFERROR(__xludf.DUMMYFUNCTION("if($G300="""",false, if(isna(match(M$2, split($G300:$G383,"", "",False),0)),false,true))"),FALSE)</f>
        <v>0</v>
      </c>
      <c r="N300" s="53" t="b">
        <f ca="1">IFERROR(__xludf.DUMMYFUNCTION("if($G300="""",false, if(isna(match(N$2, split($G300:$G383,"", "",False),0)),false,true))"),FALSE)</f>
        <v>0</v>
      </c>
      <c r="O300" s="53" t="b">
        <f ca="1">IFERROR(__xludf.DUMMYFUNCTION("if($G300="""",false, if(isna(match(O$2, split($G300:$G383,"", "",False),0)),false,true))"),FALSE)</f>
        <v>0</v>
      </c>
      <c r="P300" s="53" t="b">
        <f ca="1">IFERROR(__xludf.DUMMYFUNCTION("if($G300="""",false, if(isna(match(P$2, split($G300:$G383,"", "",False),0)),false,true))"),FALSE)</f>
        <v>0</v>
      </c>
      <c r="Q300" s="53" t="b">
        <f ca="1">IFERROR(__xludf.DUMMYFUNCTION("if($G300="""",false, if(isna(match(Q$2, split($G300:$G383,"", "",False),0)),false,true))"),FALSE)</f>
        <v>0</v>
      </c>
      <c r="R300" s="53" t="b">
        <f ca="1">IFERROR(__xludf.DUMMYFUNCTION("if($G300="""",false, if(isna(match(R$2, split($G300:$G383,"", "",False),0)),false,true))"),FALSE)</f>
        <v>0</v>
      </c>
      <c r="S300" s="53" t="b">
        <f ca="1">IFERROR(__xludf.DUMMYFUNCTION("if($G300="""",false, if(isna(match(S$2, split($G300:$G383,"", "",False),0)),false,true))"),FALSE)</f>
        <v>0</v>
      </c>
      <c r="T300" s="53" t="b">
        <f ca="1">IFERROR(__xludf.DUMMYFUNCTION("if($G300="""",false, if(isna(match(T$2, split($G300:$G383,"", "",False),0)),false,true))"),FALSE)</f>
        <v>0</v>
      </c>
      <c r="U300" s="53" t="b">
        <f ca="1">IFERROR(__xludf.DUMMYFUNCTION("if($G300="""",false, if(isna(match(U$2, split($G300:$G383,"", "",False),0)),false,true))"),FALSE)</f>
        <v>0</v>
      </c>
      <c r="V300" s="53" t="b">
        <f ca="1">IFERROR(__xludf.DUMMYFUNCTION("if($G300="""",false, if(isna(match(V$2, split($G300:$G383,"", "",False),0)),false,true))"),FALSE)</f>
        <v>0</v>
      </c>
      <c r="W300" s="57" t="b">
        <f ca="1">IFERROR(__xludf.DUMMYFUNCTION("if($G300="""",false, if(isna(match(W$2, split($G300:$G383,"", "",False),0)),false,true))"),TRUE)</f>
        <v>1</v>
      </c>
    </row>
    <row r="301" spans="1:23" ht="14">
      <c r="A301" s="47" t="s">
        <v>863</v>
      </c>
      <c r="B301" s="47" t="s">
        <v>63</v>
      </c>
      <c r="C301" s="49" t="s">
        <v>850</v>
      </c>
      <c r="D301" s="52" t="s">
        <v>851</v>
      </c>
      <c r="E301" s="49" t="s">
        <v>612</v>
      </c>
      <c r="F301" s="52" t="s">
        <v>864</v>
      </c>
      <c r="G301" s="59" t="s">
        <v>123</v>
      </c>
      <c r="H301" s="53" t="b">
        <f ca="1">IFERROR(__xludf.DUMMYFUNCTION("if($G301="""",false, if(isna(match(H$2, split($G301:$G383,"", "",False),0)),false,true))"),FALSE)</f>
        <v>0</v>
      </c>
      <c r="I301" s="53" t="b">
        <f ca="1">IFERROR(__xludf.DUMMYFUNCTION("if($G301="""",false, if(isna(match(I$2, split($G301:$G383,"", "",False),0)),false,true))"),FALSE)</f>
        <v>0</v>
      </c>
      <c r="J301" s="53" t="b">
        <f ca="1">IFERROR(__xludf.DUMMYFUNCTION("if($G301="""",false, if(isna(match(J$2, split($G301:$G383,"", "",False),0)),false,true))"),FALSE)</f>
        <v>0</v>
      </c>
      <c r="K301" s="53" t="b">
        <f ca="1">IFERROR(__xludf.DUMMYFUNCTION("if($G301="""",false, if(isna(match(K$2, split($G301:$G383,"", "",False),0)),false,true))"),FALSE)</f>
        <v>0</v>
      </c>
      <c r="L301" s="53" t="b">
        <f ca="1">IFERROR(__xludf.DUMMYFUNCTION("if($G301="""",false, if(isna(match(L$2, split($G301:$G383,"", "",False),0)),false,true))"),FALSE)</f>
        <v>0</v>
      </c>
      <c r="M301" s="53" t="b">
        <f ca="1">IFERROR(__xludf.DUMMYFUNCTION("if($G301="""",false, if(isna(match(M$2, split($G301:$G383,"", "",False),0)),false,true))"),FALSE)</f>
        <v>0</v>
      </c>
      <c r="N301" s="53" t="b">
        <f ca="1">IFERROR(__xludf.DUMMYFUNCTION("if($G301="""",false, if(isna(match(N$2, split($G301:$G383,"", "",False),0)),false,true))"),FALSE)</f>
        <v>0</v>
      </c>
      <c r="O301" s="53" t="b">
        <f ca="1">IFERROR(__xludf.DUMMYFUNCTION("if($G301="""",false, if(isna(match(O$2, split($G301:$G383,"", "",False),0)),false,true))"),FALSE)</f>
        <v>0</v>
      </c>
      <c r="P301" s="53" t="b">
        <f ca="1">IFERROR(__xludf.DUMMYFUNCTION("if($G301="""",false, if(isna(match(P$2, split($G301:$G383,"", "",False),0)),false,true))"),FALSE)</f>
        <v>0</v>
      </c>
      <c r="Q301" s="53" t="b">
        <f ca="1">IFERROR(__xludf.DUMMYFUNCTION("if($G301="""",false, if(isna(match(Q$2, split($G301:$G383,"", "",False),0)),false,true))"),FALSE)</f>
        <v>0</v>
      </c>
      <c r="R301" s="53" t="b">
        <f ca="1">IFERROR(__xludf.DUMMYFUNCTION("if($G301="""",false, if(isna(match(R$2, split($G301:$G383,"", "",False),0)),false,true))"),FALSE)</f>
        <v>0</v>
      </c>
      <c r="S301" s="53" t="b">
        <f ca="1">IFERROR(__xludf.DUMMYFUNCTION("if($G301="""",false, if(isna(match(S$2, split($G301:$G383,"", "",False),0)),false,true))"),FALSE)</f>
        <v>0</v>
      </c>
      <c r="T301" s="53" t="b">
        <f ca="1">IFERROR(__xludf.DUMMYFUNCTION("if($G301="""",false, if(isna(match(T$2, split($G301:$G383,"", "",False),0)),false,true))"),FALSE)</f>
        <v>0</v>
      </c>
      <c r="U301" s="53" t="b">
        <f ca="1">IFERROR(__xludf.DUMMYFUNCTION("if($G301="""",false, if(isna(match(U$2, split($G301:$G383,"", "",False),0)),false,true))"),FALSE)</f>
        <v>0</v>
      </c>
      <c r="V301" s="53" t="b">
        <f ca="1">IFERROR(__xludf.DUMMYFUNCTION("if($G301="""",false, if(isna(match(V$2, split($G301:$G383,"", "",False),0)),false,true))"),FALSE)</f>
        <v>0</v>
      </c>
      <c r="W301" s="57" t="b">
        <f ca="1">IFERROR(__xludf.DUMMYFUNCTION("if($G301="""",false, if(isna(match(W$2, split($G301:$G383,"", "",False),0)),false,true))"),TRUE)</f>
        <v>1</v>
      </c>
    </row>
    <row r="302" spans="1:23" ht="14">
      <c r="A302" s="47" t="s">
        <v>865</v>
      </c>
      <c r="B302" s="47" t="s">
        <v>63</v>
      </c>
      <c r="C302" s="49" t="s">
        <v>850</v>
      </c>
      <c r="D302" s="52" t="s">
        <v>866</v>
      </c>
      <c r="E302" s="49" t="s">
        <v>867</v>
      </c>
      <c r="F302" s="52" t="s">
        <v>868</v>
      </c>
      <c r="G302" s="59" t="s">
        <v>109</v>
      </c>
      <c r="H302" s="53" t="b">
        <f ca="1">IFERROR(__xludf.DUMMYFUNCTION("if($G302="""",false, if(isna(match(H$2, split($G302:$G383,"", "",False),0)),false,true))"),FALSE)</f>
        <v>0</v>
      </c>
      <c r="I302" s="53" t="b">
        <f ca="1">IFERROR(__xludf.DUMMYFUNCTION("if($G302="""",false, if(isna(match(I$2, split($G302:$G383,"", "",False),0)),false,true))"),TRUE)</f>
        <v>1</v>
      </c>
      <c r="J302" s="53" t="b">
        <f ca="1">IFERROR(__xludf.DUMMYFUNCTION("if($G302="""",false, if(isna(match(J$2, split($G302:$G383,"", "",False),0)),false,true))"),FALSE)</f>
        <v>0</v>
      </c>
      <c r="K302" s="53" t="b">
        <f ca="1">IFERROR(__xludf.DUMMYFUNCTION("if($G302="""",false, if(isna(match(K$2, split($G302:$G383,"", "",False),0)),false,true))"),FALSE)</f>
        <v>0</v>
      </c>
      <c r="L302" s="53" t="b">
        <f ca="1">IFERROR(__xludf.DUMMYFUNCTION("if($G302="""",false, if(isna(match(L$2, split($G302:$G383,"", "",False),0)),false,true))"),FALSE)</f>
        <v>0</v>
      </c>
      <c r="M302" s="53" t="b">
        <f ca="1">IFERROR(__xludf.DUMMYFUNCTION("if($G302="""",false, if(isna(match(M$2, split($G302:$G383,"", "",False),0)),false,true))"),FALSE)</f>
        <v>0</v>
      </c>
      <c r="N302" s="53" t="b">
        <f ca="1">IFERROR(__xludf.DUMMYFUNCTION("if($G302="""",false, if(isna(match(N$2, split($G302:$G383,"", "",False),0)),false,true))"),FALSE)</f>
        <v>0</v>
      </c>
      <c r="O302" s="53" t="b">
        <f ca="1">IFERROR(__xludf.DUMMYFUNCTION("if($G302="""",false, if(isna(match(O$2, split($G302:$G383,"", "",False),0)),false,true))"),FALSE)</f>
        <v>0</v>
      </c>
      <c r="P302" s="53" t="b">
        <f ca="1">IFERROR(__xludf.DUMMYFUNCTION("if($G302="""",false, if(isna(match(P$2, split($G302:$G383,"", "",False),0)),false,true))"),FALSE)</f>
        <v>0</v>
      </c>
      <c r="Q302" s="53" t="b">
        <f ca="1">IFERROR(__xludf.DUMMYFUNCTION("if($G302="""",false, if(isna(match(Q$2, split($G302:$G383,"", "",False),0)),false,true))"),FALSE)</f>
        <v>0</v>
      </c>
      <c r="R302" s="53" t="b">
        <f ca="1">IFERROR(__xludf.DUMMYFUNCTION("if($G302="""",false, if(isna(match(R$2, split($G302:$G383,"", "",False),0)),false,true))"),FALSE)</f>
        <v>0</v>
      </c>
      <c r="S302" s="53" t="b">
        <f ca="1">IFERROR(__xludf.DUMMYFUNCTION("if($G302="""",false, if(isna(match(S$2, split($G302:$G383,"", "",False),0)),false,true))"),FALSE)</f>
        <v>0</v>
      </c>
      <c r="T302" s="53" t="b">
        <f ca="1">IFERROR(__xludf.DUMMYFUNCTION("if($G302="""",false, if(isna(match(T$2, split($G302:$G383,"", "",False),0)),false,true))"),FALSE)</f>
        <v>0</v>
      </c>
      <c r="U302" s="53" t="b">
        <f ca="1">IFERROR(__xludf.DUMMYFUNCTION("if($G302="""",false, if(isna(match(U$2, split($G302:$G383,"", "",False),0)),false,true))"),FALSE)</f>
        <v>0</v>
      </c>
      <c r="V302" s="53" t="b">
        <f ca="1">IFERROR(__xludf.DUMMYFUNCTION("if($G302="""",false, if(isna(match(V$2, split($G302:$G383,"", "",False),0)),false,true))"),FALSE)</f>
        <v>0</v>
      </c>
      <c r="W302" s="57" t="b">
        <f ca="1">IFERROR(__xludf.DUMMYFUNCTION("if($G302="""",false, if(isna(match(W$2, split($G302:$G383,"", "",False),0)),false,true))"),FALSE)</f>
        <v>0</v>
      </c>
    </row>
    <row r="303" spans="1:23" ht="14">
      <c r="A303" s="47" t="s">
        <v>869</v>
      </c>
      <c r="B303" s="47" t="s">
        <v>63</v>
      </c>
      <c r="C303" s="49" t="s">
        <v>850</v>
      </c>
      <c r="D303" s="52" t="s">
        <v>866</v>
      </c>
      <c r="E303" s="49" t="s">
        <v>867</v>
      </c>
      <c r="F303" s="52" t="s">
        <v>870</v>
      </c>
      <c r="G303" s="59" t="s">
        <v>109</v>
      </c>
      <c r="H303" s="53" t="b">
        <f ca="1">IFERROR(__xludf.DUMMYFUNCTION("if($G303="""",false, if(isna(match(H$2, split($G303:$G383,"", "",False),0)),false,true))"),FALSE)</f>
        <v>0</v>
      </c>
      <c r="I303" s="53" t="b">
        <f ca="1">IFERROR(__xludf.DUMMYFUNCTION("if($G303="""",false, if(isna(match(I$2, split($G303:$G383,"", "",False),0)),false,true))"),TRUE)</f>
        <v>1</v>
      </c>
      <c r="J303" s="53" t="b">
        <f ca="1">IFERROR(__xludf.DUMMYFUNCTION("if($G303="""",false, if(isna(match(J$2, split($G303:$G383,"", "",False),0)),false,true))"),FALSE)</f>
        <v>0</v>
      </c>
      <c r="K303" s="53" t="b">
        <f ca="1">IFERROR(__xludf.DUMMYFUNCTION("if($G303="""",false, if(isna(match(K$2, split($G303:$G383,"", "",False),0)),false,true))"),FALSE)</f>
        <v>0</v>
      </c>
      <c r="L303" s="53" t="b">
        <f ca="1">IFERROR(__xludf.DUMMYFUNCTION("if($G303="""",false, if(isna(match(L$2, split($G303:$G383,"", "",False),0)),false,true))"),FALSE)</f>
        <v>0</v>
      </c>
      <c r="M303" s="53" t="b">
        <f ca="1">IFERROR(__xludf.DUMMYFUNCTION("if($G303="""",false, if(isna(match(M$2, split($G303:$G383,"", "",False),0)),false,true))"),FALSE)</f>
        <v>0</v>
      </c>
      <c r="N303" s="53" t="b">
        <f ca="1">IFERROR(__xludf.DUMMYFUNCTION("if($G303="""",false, if(isna(match(N$2, split($G303:$G383,"", "",False),0)),false,true))"),FALSE)</f>
        <v>0</v>
      </c>
      <c r="O303" s="53" t="b">
        <f ca="1">IFERROR(__xludf.DUMMYFUNCTION("if($G303="""",false, if(isna(match(O$2, split($G303:$G383,"", "",False),0)),false,true))"),FALSE)</f>
        <v>0</v>
      </c>
      <c r="P303" s="53" t="b">
        <f ca="1">IFERROR(__xludf.DUMMYFUNCTION("if($G303="""",false, if(isna(match(P$2, split($G303:$G383,"", "",False),0)),false,true))"),FALSE)</f>
        <v>0</v>
      </c>
      <c r="Q303" s="53" t="b">
        <f ca="1">IFERROR(__xludf.DUMMYFUNCTION("if($G303="""",false, if(isna(match(Q$2, split($G303:$G383,"", "",False),0)),false,true))"),FALSE)</f>
        <v>0</v>
      </c>
      <c r="R303" s="53" t="b">
        <f ca="1">IFERROR(__xludf.DUMMYFUNCTION("if($G303="""",false, if(isna(match(R$2, split($G303:$G383,"", "",False),0)),false,true))"),FALSE)</f>
        <v>0</v>
      </c>
      <c r="S303" s="53" t="b">
        <f ca="1">IFERROR(__xludf.DUMMYFUNCTION("if($G303="""",false, if(isna(match(S$2, split($G303:$G383,"", "",False),0)),false,true))"),FALSE)</f>
        <v>0</v>
      </c>
      <c r="T303" s="53" t="b">
        <f ca="1">IFERROR(__xludf.DUMMYFUNCTION("if($G303="""",false, if(isna(match(T$2, split($G303:$G383,"", "",False),0)),false,true))"),FALSE)</f>
        <v>0</v>
      </c>
      <c r="U303" s="53" t="b">
        <f ca="1">IFERROR(__xludf.DUMMYFUNCTION("if($G303="""",false, if(isna(match(U$2, split($G303:$G383,"", "",False),0)),false,true))"),FALSE)</f>
        <v>0</v>
      </c>
      <c r="V303" s="53" t="b">
        <f ca="1">IFERROR(__xludf.DUMMYFUNCTION("if($G303="""",false, if(isna(match(V$2, split($G303:$G383,"", "",False),0)),false,true))"),FALSE)</f>
        <v>0</v>
      </c>
      <c r="W303" s="57" t="b">
        <f ca="1">IFERROR(__xludf.DUMMYFUNCTION("if($G303="""",false, if(isna(match(W$2, split($G303:$G383,"", "",False),0)),false,true))"),FALSE)</f>
        <v>0</v>
      </c>
    </row>
    <row r="304" spans="1:23" ht="14">
      <c r="A304" s="47" t="s">
        <v>871</v>
      </c>
      <c r="B304" s="47" t="s">
        <v>63</v>
      </c>
      <c r="C304" s="49" t="s">
        <v>850</v>
      </c>
      <c r="D304" s="52" t="s">
        <v>866</v>
      </c>
      <c r="E304" s="49" t="s">
        <v>867</v>
      </c>
      <c r="F304" s="52" t="s">
        <v>872</v>
      </c>
      <c r="G304" s="59" t="s">
        <v>109</v>
      </c>
      <c r="H304" s="53" t="b">
        <f ca="1">IFERROR(__xludf.DUMMYFUNCTION("if($G304="""",false, if(isna(match(H$2, split($G304:$G383,"", "",False),0)),false,true))"),FALSE)</f>
        <v>0</v>
      </c>
      <c r="I304" s="53" t="b">
        <f ca="1">IFERROR(__xludf.DUMMYFUNCTION("if($G304="""",false, if(isna(match(I$2, split($G304:$G383,"", "",False),0)),false,true))"),TRUE)</f>
        <v>1</v>
      </c>
      <c r="J304" s="53" t="b">
        <f ca="1">IFERROR(__xludf.DUMMYFUNCTION("if($G304="""",false, if(isna(match(J$2, split($G304:$G383,"", "",False),0)),false,true))"),FALSE)</f>
        <v>0</v>
      </c>
      <c r="K304" s="53" t="b">
        <f ca="1">IFERROR(__xludf.DUMMYFUNCTION("if($G304="""",false, if(isna(match(K$2, split($G304:$G383,"", "",False),0)),false,true))"),FALSE)</f>
        <v>0</v>
      </c>
      <c r="L304" s="53" t="b">
        <f ca="1">IFERROR(__xludf.DUMMYFUNCTION("if($G304="""",false, if(isna(match(L$2, split($G304:$G383,"", "",False),0)),false,true))"),FALSE)</f>
        <v>0</v>
      </c>
      <c r="M304" s="53" t="b">
        <f ca="1">IFERROR(__xludf.DUMMYFUNCTION("if($G304="""",false, if(isna(match(M$2, split($G304:$G383,"", "",False),0)),false,true))"),FALSE)</f>
        <v>0</v>
      </c>
      <c r="N304" s="53" t="b">
        <f ca="1">IFERROR(__xludf.DUMMYFUNCTION("if($G304="""",false, if(isna(match(N$2, split($G304:$G383,"", "",False),0)),false,true))"),FALSE)</f>
        <v>0</v>
      </c>
      <c r="O304" s="53" t="b">
        <f ca="1">IFERROR(__xludf.DUMMYFUNCTION("if($G304="""",false, if(isna(match(O$2, split($G304:$G383,"", "",False),0)),false,true))"),FALSE)</f>
        <v>0</v>
      </c>
      <c r="P304" s="53" t="b">
        <f ca="1">IFERROR(__xludf.DUMMYFUNCTION("if($G304="""",false, if(isna(match(P$2, split($G304:$G383,"", "",False),0)),false,true))"),FALSE)</f>
        <v>0</v>
      </c>
      <c r="Q304" s="53" t="b">
        <f ca="1">IFERROR(__xludf.DUMMYFUNCTION("if($G304="""",false, if(isna(match(Q$2, split($G304:$G383,"", "",False),0)),false,true))"),FALSE)</f>
        <v>0</v>
      </c>
      <c r="R304" s="53" t="b">
        <f ca="1">IFERROR(__xludf.DUMMYFUNCTION("if($G304="""",false, if(isna(match(R$2, split($G304:$G383,"", "",False),0)),false,true))"),FALSE)</f>
        <v>0</v>
      </c>
      <c r="S304" s="53" t="b">
        <f ca="1">IFERROR(__xludf.DUMMYFUNCTION("if($G304="""",false, if(isna(match(S$2, split($G304:$G383,"", "",False),0)),false,true))"),FALSE)</f>
        <v>0</v>
      </c>
      <c r="T304" s="53" t="b">
        <f ca="1">IFERROR(__xludf.DUMMYFUNCTION("if($G304="""",false, if(isna(match(T$2, split($G304:$G383,"", "",False),0)),false,true))"),FALSE)</f>
        <v>0</v>
      </c>
      <c r="U304" s="53" t="b">
        <f ca="1">IFERROR(__xludf.DUMMYFUNCTION("if($G304="""",false, if(isna(match(U$2, split($G304:$G383,"", "",False),0)),false,true))"),FALSE)</f>
        <v>0</v>
      </c>
      <c r="V304" s="53" t="b">
        <f ca="1">IFERROR(__xludf.DUMMYFUNCTION("if($G304="""",false, if(isna(match(V$2, split($G304:$G383,"", "",False),0)),false,true))"),FALSE)</f>
        <v>0</v>
      </c>
      <c r="W304" s="57" t="b">
        <f ca="1">IFERROR(__xludf.DUMMYFUNCTION("if($G304="""",false, if(isna(match(W$2, split($G304:$G383,"", "",False),0)),false,true))"),FALSE)</f>
        <v>0</v>
      </c>
    </row>
    <row r="305" spans="1:23" ht="14">
      <c r="A305" s="47" t="s">
        <v>873</v>
      </c>
      <c r="B305" s="47" t="s">
        <v>63</v>
      </c>
      <c r="C305" s="49" t="s">
        <v>850</v>
      </c>
      <c r="D305" s="52" t="s">
        <v>866</v>
      </c>
      <c r="E305" s="49" t="s">
        <v>867</v>
      </c>
      <c r="F305" s="52" t="s">
        <v>874</v>
      </c>
      <c r="G305" s="59" t="s">
        <v>109</v>
      </c>
      <c r="H305" s="53" t="b">
        <f ca="1">IFERROR(__xludf.DUMMYFUNCTION("if($G305="""",false, if(isna(match(H$2, split($G305:$G383,"", "",False),0)),false,true))"),FALSE)</f>
        <v>0</v>
      </c>
      <c r="I305" s="53" t="b">
        <f ca="1">IFERROR(__xludf.DUMMYFUNCTION("if($G305="""",false, if(isna(match(I$2, split($G305:$G383,"", "",False),0)),false,true))"),TRUE)</f>
        <v>1</v>
      </c>
      <c r="J305" s="53" t="b">
        <f ca="1">IFERROR(__xludf.DUMMYFUNCTION("if($G305="""",false, if(isna(match(J$2, split($G305:$G383,"", "",False),0)),false,true))"),FALSE)</f>
        <v>0</v>
      </c>
      <c r="K305" s="53" t="b">
        <f ca="1">IFERROR(__xludf.DUMMYFUNCTION("if($G305="""",false, if(isna(match(K$2, split($G305:$G383,"", "",False),0)),false,true))"),FALSE)</f>
        <v>0</v>
      </c>
      <c r="L305" s="53" t="b">
        <f ca="1">IFERROR(__xludf.DUMMYFUNCTION("if($G305="""",false, if(isna(match(L$2, split($G305:$G383,"", "",False),0)),false,true))"),FALSE)</f>
        <v>0</v>
      </c>
      <c r="M305" s="53" t="b">
        <f ca="1">IFERROR(__xludf.DUMMYFUNCTION("if($G305="""",false, if(isna(match(M$2, split($G305:$G383,"", "",False),0)),false,true))"),FALSE)</f>
        <v>0</v>
      </c>
      <c r="N305" s="53" t="b">
        <f ca="1">IFERROR(__xludf.DUMMYFUNCTION("if($G305="""",false, if(isna(match(N$2, split($G305:$G383,"", "",False),0)),false,true))"),FALSE)</f>
        <v>0</v>
      </c>
      <c r="O305" s="53" t="b">
        <f ca="1">IFERROR(__xludf.DUMMYFUNCTION("if($G305="""",false, if(isna(match(O$2, split($G305:$G383,"", "",False),0)),false,true))"),FALSE)</f>
        <v>0</v>
      </c>
      <c r="P305" s="53" t="b">
        <f ca="1">IFERROR(__xludf.DUMMYFUNCTION("if($G305="""",false, if(isna(match(P$2, split($G305:$G383,"", "",False),0)),false,true))"),FALSE)</f>
        <v>0</v>
      </c>
      <c r="Q305" s="53" t="b">
        <f ca="1">IFERROR(__xludf.DUMMYFUNCTION("if($G305="""",false, if(isna(match(Q$2, split($G305:$G383,"", "",False),0)),false,true))"),FALSE)</f>
        <v>0</v>
      </c>
      <c r="R305" s="53" t="b">
        <f ca="1">IFERROR(__xludf.DUMMYFUNCTION("if($G305="""",false, if(isna(match(R$2, split($G305:$G383,"", "",False),0)),false,true))"),FALSE)</f>
        <v>0</v>
      </c>
      <c r="S305" s="53" t="b">
        <f ca="1">IFERROR(__xludf.DUMMYFUNCTION("if($G305="""",false, if(isna(match(S$2, split($G305:$G383,"", "",False),0)),false,true))"),FALSE)</f>
        <v>0</v>
      </c>
      <c r="T305" s="53" t="b">
        <f ca="1">IFERROR(__xludf.DUMMYFUNCTION("if($G305="""",false, if(isna(match(T$2, split($G305:$G383,"", "",False),0)),false,true))"),FALSE)</f>
        <v>0</v>
      </c>
      <c r="U305" s="53" t="b">
        <f ca="1">IFERROR(__xludf.DUMMYFUNCTION("if($G305="""",false, if(isna(match(U$2, split($G305:$G383,"", "",False),0)),false,true))"),FALSE)</f>
        <v>0</v>
      </c>
      <c r="V305" s="53" t="b">
        <f ca="1">IFERROR(__xludf.DUMMYFUNCTION("if($G305="""",false, if(isna(match(V$2, split($G305:$G383,"", "",False),0)),false,true))"),FALSE)</f>
        <v>0</v>
      </c>
      <c r="W305" s="57" t="b">
        <f ca="1">IFERROR(__xludf.DUMMYFUNCTION("if($G305="""",false, if(isna(match(W$2, split($G305:$G383,"", "",False),0)),false,true))"),FALSE)</f>
        <v>0</v>
      </c>
    </row>
    <row r="306" spans="1:23" ht="14">
      <c r="A306" s="47" t="s">
        <v>875</v>
      </c>
      <c r="B306" s="47" t="s">
        <v>63</v>
      </c>
      <c r="C306" s="49" t="s">
        <v>850</v>
      </c>
      <c r="D306" s="52" t="s">
        <v>866</v>
      </c>
      <c r="E306" s="49" t="s">
        <v>867</v>
      </c>
      <c r="F306" s="52" t="s">
        <v>876</v>
      </c>
      <c r="G306" s="59"/>
      <c r="H306" s="53" t="b">
        <f ca="1">IFERROR(__xludf.DUMMYFUNCTION("if($G306="""",false, if(isna(match(H$2, split($G306:$G383,"", "",False),0)),false,true))"),FALSE)</f>
        <v>0</v>
      </c>
      <c r="I306" s="53" t="b">
        <f ca="1">IFERROR(__xludf.DUMMYFUNCTION("if($G306="""",false, if(isna(match(I$2, split($G306:$G383,"", "",False),0)),false,true))"),FALSE)</f>
        <v>0</v>
      </c>
      <c r="J306" s="53" t="b">
        <f ca="1">IFERROR(__xludf.DUMMYFUNCTION("if($G306="""",false, if(isna(match(J$2, split($G306:$G383,"", "",False),0)),false,true))"),FALSE)</f>
        <v>0</v>
      </c>
      <c r="K306" s="53" t="b">
        <f ca="1">IFERROR(__xludf.DUMMYFUNCTION("if($G306="""",false, if(isna(match(K$2, split($G306:$G383,"", "",False),0)),false,true))"),FALSE)</f>
        <v>0</v>
      </c>
      <c r="L306" s="53" t="b">
        <f ca="1">IFERROR(__xludf.DUMMYFUNCTION("if($G306="""",false, if(isna(match(L$2, split($G306:$G383,"", "",False),0)),false,true))"),FALSE)</f>
        <v>0</v>
      </c>
      <c r="M306" s="53" t="b">
        <f ca="1">IFERROR(__xludf.DUMMYFUNCTION("if($G306="""",false, if(isna(match(M$2, split($G306:$G383,"", "",False),0)),false,true))"),FALSE)</f>
        <v>0</v>
      </c>
      <c r="N306" s="53" t="b">
        <f ca="1">IFERROR(__xludf.DUMMYFUNCTION("if($G306="""",false, if(isna(match(N$2, split($G306:$G383,"", "",False),0)),false,true))"),FALSE)</f>
        <v>0</v>
      </c>
      <c r="O306" s="53" t="b">
        <f ca="1">IFERROR(__xludf.DUMMYFUNCTION("if($G306="""",false, if(isna(match(O$2, split($G306:$G383,"", "",False),0)),false,true))"),FALSE)</f>
        <v>0</v>
      </c>
      <c r="P306" s="53" t="b">
        <f ca="1">IFERROR(__xludf.DUMMYFUNCTION("if($G306="""",false, if(isna(match(P$2, split($G306:$G383,"", "",False),0)),false,true))"),FALSE)</f>
        <v>0</v>
      </c>
      <c r="Q306" s="53" t="b">
        <f ca="1">IFERROR(__xludf.DUMMYFUNCTION("if($G306="""",false, if(isna(match(Q$2, split($G306:$G383,"", "",False),0)),false,true))"),FALSE)</f>
        <v>0</v>
      </c>
      <c r="R306" s="53" t="b">
        <f ca="1">IFERROR(__xludf.DUMMYFUNCTION("if($G306="""",false, if(isna(match(R$2, split($G306:$G383,"", "",False),0)),false,true))"),FALSE)</f>
        <v>0</v>
      </c>
      <c r="S306" s="53" t="b">
        <f ca="1">IFERROR(__xludf.DUMMYFUNCTION("if($G306="""",false, if(isna(match(S$2, split($G306:$G383,"", "",False),0)),false,true))"),FALSE)</f>
        <v>0</v>
      </c>
      <c r="T306" s="53" t="b">
        <f ca="1">IFERROR(__xludf.DUMMYFUNCTION("if($G306="""",false, if(isna(match(T$2, split($G306:$G383,"", "",False),0)),false,true))"),FALSE)</f>
        <v>0</v>
      </c>
      <c r="U306" s="53" t="b">
        <f ca="1">IFERROR(__xludf.DUMMYFUNCTION("if($G306="""",false, if(isna(match(U$2, split($G306:$G383,"", "",False),0)),false,true))"),FALSE)</f>
        <v>0</v>
      </c>
      <c r="V306" s="53" t="b">
        <f ca="1">IFERROR(__xludf.DUMMYFUNCTION("if($G306="""",false, if(isna(match(V$2, split($G306:$G383,"", "",False),0)),false,true))"),FALSE)</f>
        <v>0</v>
      </c>
      <c r="W306" s="57" t="b">
        <f ca="1">IFERROR(__xludf.DUMMYFUNCTION("if($G306="""",false, if(isna(match(W$2, split($G306:$G383,"", "",False),0)),false,true))"),FALSE)</f>
        <v>0</v>
      </c>
    </row>
    <row r="307" spans="1:23" ht="14">
      <c r="A307" s="47" t="s">
        <v>877</v>
      </c>
      <c r="B307" s="47" t="s">
        <v>63</v>
      </c>
      <c r="C307" s="49" t="s">
        <v>850</v>
      </c>
      <c r="D307" s="52" t="s">
        <v>866</v>
      </c>
      <c r="E307" s="49" t="s">
        <v>607</v>
      </c>
      <c r="F307" s="52" t="s">
        <v>878</v>
      </c>
      <c r="G307" s="59" t="s">
        <v>109</v>
      </c>
      <c r="H307" s="53" t="b">
        <f ca="1">IFERROR(__xludf.DUMMYFUNCTION("if($G307="""",false, if(isna(match(H$2, split($G307:$G383,"", "",False),0)),false,true))"),FALSE)</f>
        <v>0</v>
      </c>
      <c r="I307" s="53" t="b">
        <f ca="1">IFERROR(__xludf.DUMMYFUNCTION("if($G307="""",false, if(isna(match(I$2, split($G307:$G383,"", "",False),0)),false,true))"),TRUE)</f>
        <v>1</v>
      </c>
      <c r="J307" s="53" t="b">
        <f ca="1">IFERROR(__xludf.DUMMYFUNCTION("if($G307="""",false, if(isna(match(J$2, split($G307:$G383,"", "",False),0)),false,true))"),FALSE)</f>
        <v>0</v>
      </c>
      <c r="K307" s="53" t="b">
        <f ca="1">IFERROR(__xludf.DUMMYFUNCTION("if($G307="""",false, if(isna(match(K$2, split($G307:$G383,"", "",False),0)),false,true))"),FALSE)</f>
        <v>0</v>
      </c>
      <c r="L307" s="53" t="b">
        <f ca="1">IFERROR(__xludf.DUMMYFUNCTION("if($G307="""",false, if(isna(match(L$2, split($G307:$G383,"", "",False),0)),false,true))"),FALSE)</f>
        <v>0</v>
      </c>
      <c r="M307" s="53" t="b">
        <f ca="1">IFERROR(__xludf.DUMMYFUNCTION("if($G307="""",false, if(isna(match(M$2, split($G307:$G383,"", "",False),0)),false,true))"),FALSE)</f>
        <v>0</v>
      </c>
      <c r="N307" s="53" t="b">
        <f ca="1">IFERROR(__xludf.DUMMYFUNCTION("if($G307="""",false, if(isna(match(N$2, split($G307:$G383,"", "",False),0)),false,true))"),FALSE)</f>
        <v>0</v>
      </c>
      <c r="O307" s="53" t="b">
        <f ca="1">IFERROR(__xludf.DUMMYFUNCTION("if($G307="""",false, if(isna(match(O$2, split($G307:$G383,"", "",False),0)),false,true))"),FALSE)</f>
        <v>0</v>
      </c>
      <c r="P307" s="53" t="b">
        <f ca="1">IFERROR(__xludf.DUMMYFUNCTION("if($G307="""",false, if(isna(match(P$2, split($G307:$G383,"", "",False),0)),false,true))"),FALSE)</f>
        <v>0</v>
      </c>
      <c r="Q307" s="53" t="b">
        <f ca="1">IFERROR(__xludf.DUMMYFUNCTION("if($G307="""",false, if(isna(match(Q$2, split($G307:$G383,"", "",False),0)),false,true))"),FALSE)</f>
        <v>0</v>
      </c>
      <c r="R307" s="53" t="b">
        <f ca="1">IFERROR(__xludf.DUMMYFUNCTION("if($G307="""",false, if(isna(match(R$2, split($G307:$G383,"", "",False),0)),false,true))"),FALSE)</f>
        <v>0</v>
      </c>
      <c r="S307" s="53" t="b">
        <f ca="1">IFERROR(__xludf.DUMMYFUNCTION("if($G307="""",false, if(isna(match(S$2, split($G307:$G383,"", "",False),0)),false,true))"),FALSE)</f>
        <v>0</v>
      </c>
      <c r="T307" s="53" t="b">
        <f ca="1">IFERROR(__xludf.DUMMYFUNCTION("if($G307="""",false, if(isna(match(T$2, split($G307:$G383,"", "",False),0)),false,true))"),FALSE)</f>
        <v>0</v>
      </c>
      <c r="U307" s="53" t="b">
        <f ca="1">IFERROR(__xludf.DUMMYFUNCTION("if($G307="""",false, if(isna(match(U$2, split($G307:$G383,"", "",False),0)),false,true))"),FALSE)</f>
        <v>0</v>
      </c>
      <c r="V307" s="53" t="b">
        <f ca="1">IFERROR(__xludf.DUMMYFUNCTION("if($G307="""",false, if(isna(match(V$2, split($G307:$G383,"", "",False),0)),false,true))"),FALSE)</f>
        <v>0</v>
      </c>
      <c r="W307" s="57" t="b">
        <f ca="1">IFERROR(__xludf.DUMMYFUNCTION("if($G307="""",false, if(isna(match(W$2, split($G307:$G383,"", "",False),0)),false,true))"),FALSE)</f>
        <v>0</v>
      </c>
    </row>
    <row r="308" spans="1:23" ht="56">
      <c r="A308" s="47" t="s">
        <v>879</v>
      </c>
      <c r="B308" s="47" t="s">
        <v>63</v>
      </c>
      <c r="C308" s="49" t="s">
        <v>850</v>
      </c>
      <c r="D308" s="52" t="s">
        <v>866</v>
      </c>
      <c r="E308" s="49" t="s">
        <v>607</v>
      </c>
      <c r="F308" s="52" t="s">
        <v>880</v>
      </c>
      <c r="G308" s="59" t="s">
        <v>109</v>
      </c>
      <c r="H308" s="53" t="b">
        <f ca="1">IFERROR(__xludf.DUMMYFUNCTION("if($G308="""",false, if(isna(match(H$2, split($G308:$G383,"", "",False),0)),false,true))"),FALSE)</f>
        <v>0</v>
      </c>
      <c r="I308" s="53" t="b">
        <f ca="1">IFERROR(__xludf.DUMMYFUNCTION("if($G308="""",false, if(isna(match(I$2, split($G308:$G383,"", "",False),0)),false,true))"),TRUE)</f>
        <v>1</v>
      </c>
      <c r="J308" s="53" t="b">
        <f ca="1">IFERROR(__xludf.DUMMYFUNCTION("if($G308="""",false, if(isna(match(J$2, split($G308:$G383,"", "",False),0)),false,true))"),FALSE)</f>
        <v>0</v>
      </c>
      <c r="K308" s="53" t="b">
        <f ca="1">IFERROR(__xludf.DUMMYFUNCTION("if($G308="""",false, if(isna(match(K$2, split($G308:$G383,"", "",False),0)),false,true))"),FALSE)</f>
        <v>0</v>
      </c>
      <c r="L308" s="53" t="b">
        <f ca="1">IFERROR(__xludf.DUMMYFUNCTION("if($G308="""",false, if(isna(match(L$2, split($G308:$G383,"", "",False),0)),false,true))"),FALSE)</f>
        <v>0</v>
      </c>
      <c r="M308" s="53" t="b">
        <f ca="1">IFERROR(__xludf.DUMMYFUNCTION("if($G308="""",false, if(isna(match(M$2, split($G308:$G383,"", "",False),0)),false,true))"),FALSE)</f>
        <v>0</v>
      </c>
      <c r="N308" s="53" t="b">
        <f ca="1">IFERROR(__xludf.DUMMYFUNCTION("if($G308="""",false, if(isna(match(N$2, split($G308:$G383,"", "",False),0)),false,true))"),FALSE)</f>
        <v>0</v>
      </c>
      <c r="O308" s="53" t="b">
        <f ca="1">IFERROR(__xludf.DUMMYFUNCTION("if($G308="""",false, if(isna(match(O$2, split($G308:$G383,"", "",False),0)),false,true))"),FALSE)</f>
        <v>0</v>
      </c>
      <c r="P308" s="53" t="b">
        <f ca="1">IFERROR(__xludf.DUMMYFUNCTION("if($G308="""",false, if(isna(match(P$2, split($G308:$G383,"", "",False),0)),false,true))"),FALSE)</f>
        <v>0</v>
      </c>
      <c r="Q308" s="53" t="b">
        <f ca="1">IFERROR(__xludf.DUMMYFUNCTION("if($G308="""",false, if(isna(match(Q$2, split($G308:$G383,"", "",False),0)),false,true))"),FALSE)</f>
        <v>0</v>
      </c>
      <c r="R308" s="53" t="b">
        <f ca="1">IFERROR(__xludf.DUMMYFUNCTION("if($G308="""",false, if(isna(match(R$2, split($G308:$G383,"", "",False),0)),false,true))"),FALSE)</f>
        <v>0</v>
      </c>
      <c r="S308" s="53" t="b">
        <f ca="1">IFERROR(__xludf.DUMMYFUNCTION("if($G308="""",false, if(isna(match(S$2, split($G308:$G383,"", "",False),0)),false,true))"),FALSE)</f>
        <v>0</v>
      </c>
      <c r="T308" s="53" t="b">
        <f ca="1">IFERROR(__xludf.DUMMYFUNCTION("if($G308="""",false, if(isna(match(T$2, split($G308:$G383,"", "",False),0)),false,true))"),FALSE)</f>
        <v>0</v>
      </c>
      <c r="U308" s="53" t="b">
        <f ca="1">IFERROR(__xludf.DUMMYFUNCTION("if($G308="""",false, if(isna(match(U$2, split($G308:$G383,"", "",False),0)),false,true))"),FALSE)</f>
        <v>0</v>
      </c>
      <c r="V308" s="53" t="b">
        <f ca="1">IFERROR(__xludf.DUMMYFUNCTION("if($G308="""",false, if(isna(match(V$2, split($G308:$G383,"", "",False),0)),false,true))"),FALSE)</f>
        <v>0</v>
      </c>
      <c r="W308" s="57" t="b">
        <f ca="1">IFERROR(__xludf.DUMMYFUNCTION("if($G308="""",false, if(isna(match(W$2, split($G308:$G383,"", "",False),0)),false,true))"),FALSE)</f>
        <v>0</v>
      </c>
    </row>
    <row r="309" spans="1:23" ht="28">
      <c r="A309" s="47" t="s">
        <v>881</v>
      </c>
      <c r="B309" s="47" t="s">
        <v>63</v>
      </c>
      <c r="C309" s="49" t="s">
        <v>850</v>
      </c>
      <c r="D309" s="52" t="s">
        <v>866</v>
      </c>
      <c r="E309" s="49" t="s">
        <v>607</v>
      </c>
      <c r="F309" s="52" t="s">
        <v>882</v>
      </c>
      <c r="G309" s="59" t="s">
        <v>109</v>
      </c>
      <c r="H309" s="53" t="b">
        <f ca="1">IFERROR(__xludf.DUMMYFUNCTION("if($G309="""",false, if(isna(match(H$2, split($G309:$G383,"", "",False),0)),false,true))"),FALSE)</f>
        <v>0</v>
      </c>
      <c r="I309" s="53" t="b">
        <f ca="1">IFERROR(__xludf.DUMMYFUNCTION("if($G309="""",false, if(isna(match(I$2, split($G309:$G383,"", "",False),0)),false,true))"),TRUE)</f>
        <v>1</v>
      </c>
      <c r="J309" s="53" t="b">
        <f ca="1">IFERROR(__xludf.DUMMYFUNCTION("if($G309="""",false, if(isna(match(J$2, split($G309:$G383,"", "",False),0)),false,true))"),FALSE)</f>
        <v>0</v>
      </c>
      <c r="K309" s="53" t="b">
        <f ca="1">IFERROR(__xludf.DUMMYFUNCTION("if($G309="""",false, if(isna(match(K$2, split($G309:$G383,"", "",False),0)),false,true))"),FALSE)</f>
        <v>0</v>
      </c>
      <c r="L309" s="53" t="b">
        <f ca="1">IFERROR(__xludf.DUMMYFUNCTION("if($G309="""",false, if(isna(match(L$2, split($G309:$G383,"", "",False),0)),false,true))"),FALSE)</f>
        <v>0</v>
      </c>
      <c r="M309" s="53" t="b">
        <f ca="1">IFERROR(__xludf.DUMMYFUNCTION("if($G309="""",false, if(isna(match(M$2, split($G309:$G383,"", "",False),0)),false,true))"),FALSE)</f>
        <v>0</v>
      </c>
      <c r="N309" s="53" t="b">
        <f ca="1">IFERROR(__xludf.DUMMYFUNCTION("if($G309="""",false, if(isna(match(N$2, split($G309:$G383,"", "",False),0)),false,true))"),FALSE)</f>
        <v>0</v>
      </c>
      <c r="O309" s="53" t="b">
        <f ca="1">IFERROR(__xludf.DUMMYFUNCTION("if($G309="""",false, if(isna(match(O$2, split($G309:$G383,"", "",False),0)),false,true))"),FALSE)</f>
        <v>0</v>
      </c>
      <c r="P309" s="53" t="b">
        <f ca="1">IFERROR(__xludf.DUMMYFUNCTION("if($G309="""",false, if(isna(match(P$2, split($G309:$G383,"", "",False),0)),false,true))"),FALSE)</f>
        <v>0</v>
      </c>
      <c r="Q309" s="53" t="b">
        <f ca="1">IFERROR(__xludf.DUMMYFUNCTION("if($G309="""",false, if(isna(match(Q$2, split($G309:$G383,"", "",False),0)),false,true))"),FALSE)</f>
        <v>0</v>
      </c>
      <c r="R309" s="53" t="b">
        <f ca="1">IFERROR(__xludf.DUMMYFUNCTION("if($G309="""",false, if(isna(match(R$2, split($G309:$G383,"", "",False),0)),false,true))"),FALSE)</f>
        <v>0</v>
      </c>
      <c r="S309" s="53" t="b">
        <f ca="1">IFERROR(__xludf.DUMMYFUNCTION("if($G309="""",false, if(isna(match(S$2, split($G309:$G383,"", "",False),0)),false,true))"),FALSE)</f>
        <v>0</v>
      </c>
      <c r="T309" s="53" t="b">
        <f ca="1">IFERROR(__xludf.DUMMYFUNCTION("if($G309="""",false, if(isna(match(T$2, split($G309:$G383,"", "",False),0)),false,true))"),FALSE)</f>
        <v>0</v>
      </c>
      <c r="U309" s="53" t="b">
        <f ca="1">IFERROR(__xludf.DUMMYFUNCTION("if($G309="""",false, if(isna(match(U$2, split($G309:$G383,"", "",False),0)),false,true))"),FALSE)</f>
        <v>0</v>
      </c>
      <c r="V309" s="53" t="b">
        <f ca="1">IFERROR(__xludf.DUMMYFUNCTION("if($G309="""",false, if(isna(match(V$2, split($G309:$G383,"", "",False),0)),false,true))"),FALSE)</f>
        <v>0</v>
      </c>
      <c r="W309" s="57" t="b">
        <f ca="1">IFERROR(__xludf.DUMMYFUNCTION("if($G309="""",false, if(isna(match(W$2, split($G309:$G383,"", "",False),0)),false,true))"),FALSE)</f>
        <v>0</v>
      </c>
    </row>
    <row r="310" spans="1:23" ht="112">
      <c r="A310" s="47" t="s">
        <v>883</v>
      </c>
      <c r="B310" s="47" t="s">
        <v>63</v>
      </c>
      <c r="C310" s="49" t="s">
        <v>850</v>
      </c>
      <c r="D310" s="52" t="s">
        <v>866</v>
      </c>
      <c r="E310" s="49" t="s">
        <v>607</v>
      </c>
      <c r="F310" s="52" t="s">
        <v>884</v>
      </c>
      <c r="G310" s="59" t="s">
        <v>109</v>
      </c>
      <c r="H310" s="53" t="b">
        <f ca="1">IFERROR(__xludf.DUMMYFUNCTION("if($G310="""",false, if(isna(match(H$2, split($G310:$G383,"", "",False),0)),false,true))"),FALSE)</f>
        <v>0</v>
      </c>
      <c r="I310" s="53" t="b">
        <f ca="1">IFERROR(__xludf.DUMMYFUNCTION("if($G310="""",false, if(isna(match(I$2, split($G310:$G383,"", "",False),0)),false,true))"),TRUE)</f>
        <v>1</v>
      </c>
      <c r="J310" s="53" t="b">
        <f ca="1">IFERROR(__xludf.DUMMYFUNCTION("if($G310="""",false, if(isna(match(J$2, split($G310:$G383,"", "",False),0)),false,true))"),FALSE)</f>
        <v>0</v>
      </c>
      <c r="K310" s="53" t="b">
        <f ca="1">IFERROR(__xludf.DUMMYFUNCTION("if($G310="""",false, if(isna(match(K$2, split($G310:$G383,"", "",False),0)),false,true))"),FALSE)</f>
        <v>0</v>
      </c>
      <c r="L310" s="53" t="b">
        <f ca="1">IFERROR(__xludf.DUMMYFUNCTION("if($G310="""",false, if(isna(match(L$2, split($G310:$G383,"", "",False),0)),false,true))"),FALSE)</f>
        <v>0</v>
      </c>
      <c r="M310" s="53" t="b">
        <f ca="1">IFERROR(__xludf.DUMMYFUNCTION("if($G310="""",false, if(isna(match(M$2, split($G310:$G383,"", "",False),0)),false,true))"),FALSE)</f>
        <v>0</v>
      </c>
      <c r="N310" s="53" t="b">
        <f ca="1">IFERROR(__xludf.DUMMYFUNCTION("if($G310="""",false, if(isna(match(N$2, split($G310:$G383,"", "",False),0)),false,true))"),FALSE)</f>
        <v>0</v>
      </c>
      <c r="O310" s="53" t="b">
        <f ca="1">IFERROR(__xludf.DUMMYFUNCTION("if($G310="""",false, if(isna(match(O$2, split($G310:$G383,"", "",False),0)),false,true))"),FALSE)</f>
        <v>0</v>
      </c>
      <c r="P310" s="53" t="b">
        <f ca="1">IFERROR(__xludf.DUMMYFUNCTION("if($G310="""",false, if(isna(match(P$2, split($G310:$G383,"", "",False),0)),false,true))"),FALSE)</f>
        <v>0</v>
      </c>
      <c r="Q310" s="53" t="b">
        <f ca="1">IFERROR(__xludf.DUMMYFUNCTION("if($G310="""",false, if(isna(match(Q$2, split($G310:$G383,"", "",False),0)),false,true))"),FALSE)</f>
        <v>0</v>
      </c>
      <c r="R310" s="53" t="b">
        <f ca="1">IFERROR(__xludf.DUMMYFUNCTION("if($G310="""",false, if(isna(match(R$2, split($G310:$G383,"", "",False),0)),false,true))"),FALSE)</f>
        <v>0</v>
      </c>
      <c r="S310" s="53" t="b">
        <f ca="1">IFERROR(__xludf.DUMMYFUNCTION("if($G310="""",false, if(isna(match(S$2, split($G310:$G383,"", "",False),0)),false,true))"),FALSE)</f>
        <v>0</v>
      </c>
      <c r="T310" s="53" t="b">
        <f ca="1">IFERROR(__xludf.DUMMYFUNCTION("if($G310="""",false, if(isna(match(T$2, split($G310:$G383,"", "",False),0)),false,true))"),FALSE)</f>
        <v>0</v>
      </c>
      <c r="U310" s="53" t="b">
        <f ca="1">IFERROR(__xludf.DUMMYFUNCTION("if($G310="""",false, if(isna(match(U$2, split($G310:$G383,"", "",False),0)),false,true))"),FALSE)</f>
        <v>0</v>
      </c>
      <c r="V310" s="53" t="b">
        <f ca="1">IFERROR(__xludf.DUMMYFUNCTION("if($G310="""",false, if(isna(match(V$2, split($G310:$G383,"", "",False),0)),false,true))"),FALSE)</f>
        <v>0</v>
      </c>
      <c r="W310" s="57" t="b">
        <f ca="1">IFERROR(__xludf.DUMMYFUNCTION("if($G310="""",false, if(isna(match(W$2, split($G310:$G383,"", "",False),0)),false,true))"),FALSE)</f>
        <v>0</v>
      </c>
    </row>
    <row r="311" spans="1:23" ht="126">
      <c r="A311" s="47" t="s">
        <v>885</v>
      </c>
      <c r="B311" s="47" t="s">
        <v>63</v>
      </c>
      <c r="C311" s="49" t="s">
        <v>850</v>
      </c>
      <c r="D311" s="52" t="s">
        <v>866</v>
      </c>
      <c r="E311" s="49" t="s">
        <v>107</v>
      </c>
      <c r="F311" s="52" t="s">
        <v>886</v>
      </c>
      <c r="G311" s="59" t="s">
        <v>110</v>
      </c>
      <c r="H311" s="53" t="b">
        <f ca="1">IFERROR(__xludf.DUMMYFUNCTION("if($G311="""",false, if(isna(match(H$2, split($G311:$G383,"", "",False),0)),false,true))"),FALSE)</f>
        <v>0</v>
      </c>
      <c r="I311" s="53" t="b">
        <f ca="1">IFERROR(__xludf.DUMMYFUNCTION("if($G311="""",false, if(isna(match(I$2, split($G311:$G383,"", "",False),0)),false,true))"),FALSE)</f>
        <v>0</v>
      </c>
      <c r="J311" s="53" t="b">
        <f ca="1">IFERROR(__xludf.DUMMYFUNCTION("if($G311="""",false, if(isna(match(J$2, split($G311:$G383,"", "",False),0)),false,true))"),TRUE)</f>
        <v>1</v>
      </c>
      <c r="K311" s="53" t="b">
        <f ca="1">IFERROR(__xludf.DUMMYFUNCTION("if($G311="""",false, if(isna(match(K$2, split($G311:$G383,"", "",False),0)),false,true))"),FALSE)</f>
        <v>0</v>
      </c>
      <c r="L311" s="53" t="b">
        <f ca="1">IFERROR(__xludf.DUMMYFUNCTION("if($G311="""",false, if(isna(match(L$2, split($G311:$G383,"", "",False),0)),false,true))"),FALSE)</f>
        <v>0</v>
      </c>
      <c r="M311" s="53" t="b">
        <f ca="1">IFERROR(__xludf.DUMMYFUNCTION("if($G311="""",false, if(isna(match(M$2, split($G311:$G383,"", "",False),0)),false,true))"),FALSE)</f>
        <v>0</v>
      </c>
      <c r="N311" s="53" t="b">
        <f ca="1">IFERROR(__xludf.DUMMYFUNCTION("if($G311="""",false, if(isna(match(N$2, split($G311:$G383,"", "",False),0)),false,true))"),FALSE)</f>
        <v>0</v>
      </c>
      <c r="O311" s="53" t="b">
        <f ca="1">IFERROR(__xludf.DUMMYFUNCTION("if($G311="""",false, if(isna(match(O$2, split($G311:$G383,"", "",False),0)),false,true))"),FALSE)</f>
        <v>0</v>
      </c>
      <c r="P311" s="53" t="b">
        <f ca="1">IFERROR(__xludf.DUMMYFUNCTION("if($G311="""",false, if(isna(match(P$2, split($G311:$G383,"", "",False),0)),false,true))"),FALSE)</f>
        <v>0</v>
      </c>
      <c r="Q311" s="53" t="b">
        <f ca="1">IFERROR(__xludf.DUMMYFUNCTION("if($G311="""",false, if(isna(match(Q$2, split($G311:$G383,"", "",False),0)),false,true))"),FALSE)</f>
        <v>0</v>
      </c>
      <c r="R311" s="53" t="b">
        <f ca="1">IFERROR(__xludf.DUMMYFUNCTION("if($G311="""",false, if(isna(match(R$2, split($G311:$G383,"", "",False),0)),false,true))"),FALSE)</f>
        <v>0</v>
      </c>
      <c r="S311" s="53" t="b">
        <f ca="1">IFERROR(__xludf.DUMMYFUNCTION("if($G311="""",false, if(isna(match(S$2, split($G311:$G383,"", "",False),0)),false,true))"),FALSE)</f>
        <v>0</v>
      </c>
      <c r="T311" s="53" t="b">
        <f ca="1">IFERROR(__xludf.DUMMYFUNCTION("if($G311="""",false, if(isna(match(T$2, split($G311:$G383,"", "",False),0)),false,true))"),FALSE)</f>
        <v>0</v>
      </c>
      <c r="U311" s="53" t="b">
        <f ca="1">IFERROR(__xludf.DUMMYFUNCTION("if($G311="""",false, if(isna(match(U$2, split($G311:$G383,"", "",False),0)),false,true))"),FALSE)</f>
        <v>0</v>
      </c>
      <c r="V311" s="53" t="b">
        <f ca="1">IFERROR(__xludf.DUMMYFUNCTION("if($G311="""",false, if(isna(match(V$2, split($G311:$G383,"", "",False),0)),false,true))"),FALSE)</f>
        <v>0</v>
      </c>
      <c r="W311" s="57" t="b">
        <f ca="1">IFERROR(__xludf.DUMMYFUNCTION("if($G311="""",false, if(isna(match(W$2, split($G311:$G383,"", "",False),0)),false,true))"),FALSE)</f>
        <v>0</v>
      </c>
    </row>
    <row r="312" spans="1:23" ht="28">
      <c r="A312" s="47" t="s">
        <v>887</v>
      </c>
      <c r="B312" s="47" t="s">
        <v>63</v>
      </c>
      <c r="C312" s="49" t="s">
        <v>850</v>
      </c>
      <c r="D312" s="52" t="s">
        <v>866</v>
      </c>
      <c r="E312" s="49" t="s">
        <v>107</v>
      </c>
      <c r="F312" s="52" t="s">
        <v>888</v>
      </c>
      <c r="G312" s="59" t="s">
        <v>110</v>
      </c>
      <c r="H312" s="53" t="b">
        <f ca="1">IFERROR(__xludf.DUMMYFUNCTION("if($G312="""",false, if(isna(match(H$2, split($G312:$G383,"", "",False),0)),false,true))"),FALSE)</f>
        <v>0</v>
      </c>
      <c r="I312" s="53" t="b">
        <f ca="1">IFERROR(__xludf.DUMMYFUNCTION("if($G312="""",false, if(isna(match(I$2, split($G312:$G383,"", "",False),0)),false,true))"),FALSE)</f>
        <v>0</v>
      </c>
      <c r="J312" s="53" t="b">
        <f ca="1">IFERROR(__xludf.DUMMYFUNCTION("if($G312="""",false, if(isna(match(J$2, split($G312:$G383,"", "",False),0)),false,true))"),TRUE)</f>
        <v>1</v>
      </c>
      <c r="K312" s="53" t="b">
        <f ca="1">IFERROR(__xludf.DUMMYFUNCTION("if($G312="""",false, if(isna(match(K$2, split($G312:$G383,"", "",False),0)),false,true))"),FALSE)</f>
        <v>0</v>
      </c>
      <c r="L312" s="53" t="b">
        <f ca="1">IFERROR(__xludf.DUMMYFUNCTION("if($G312="""",false, if(isna(match(L$2, split($G312:$G383,"", "",False),0)),false,true))"),FALSE)</f>
        <v>0</v>
      </c>
      <c r="M312" s="53" t="b">
        <f ca="1">IFERROR(__xludf.DUMMYFUNCTION("if($G312="""",false, if(isna(match(M$2, split($G312:$G383,"", "",False),0)),false,true))"),FALSE)</f>
        <v>0</v>
      </c>
      <c r="N312" s="53" t="b">
        <f ca="1">IFERROR(__xludf.DUMMYFUNCTION("if($G312="""",false, if(isna(match(N$2, split($G312:$G383,"", "",False),0)),false,true))"),FALSE)</f>
        <v>0</v>
      </c>
      <c r="O312" s="53" t="b">
        <f ca="1">IFERROR(__xludf.DUMMYFUNCTION("if($G312="""",false, if(isna(match(O$2, split($G312:$G383,"", "",False),0)),false,true))"),FALSE)</f>
        <v>0</v>
      </c>
      <c r="P312" s="53" t="b">
        <f ca="1">IFERROR(__xludf.DUMMYFUNCTION("if($G312="""",false, if(isna(match(P$2, split($G312:$G383,"", "",False),0)),false,true))"),FALSE)</f>
        <v>0</v>
      </c>
      <c r="Q312" s="53" t="b">
        <f ca="1">IFERROR(__xludf.DUMMYFUNCTION("if($G312="""",false, if(isna(match(Q$2, split($G312:$G383,"", "",False),0)),false,true))"),FALSE)</f>
        <v>0</v>
      </c>
      <c r="R312" s="53" t="b">
        <f ca="1">IFERROR(__xludf.DUMMYFUNCTION("if($G312="""",false, if(isna(match(R$2, split($G312:$G383,"", "",False),0)),false,true))"),FALSE)</f>
        <v>0</v>
      </c>
      <c r="S312" s="53" t="b">
        <f ca="1">IFERROR(__xludf.DUMMYFUNCTION("if($G312="""",false, if(isna(match(S$2, split($G312:$G383,"", "",False),0)),false,true))"),FALSE)</f>
        <v>0</v>
      </c>
      <c r="T312" s="53" t="b">
        <f ca="1">IFERROR(__xludf.DUMMYFUNCTION("if($G312="""",false, if(isna(match(T$2, split($G312:$G383,"", "",False),0)),false,true))"),FALSE)</f>
        <v>0</v>
      </c>
      <c r="U312" s="53" t="b">
        <f ca="1">IFERROR(__xludf.DUMMYFUNCTION("if($G312="""",false, if(isna(match(U$2, split($G312:$G383,"", "",False),0)),false,true))"),FALSE)</f>
        <v>0</v>
      </c>
      <c r="V312" s="53" t="b">
        <f ca="1">IFERROR(__xludf.DUMMYFUNCTION("if($G312="""",false, if(isna(match(V$2, split($G312:$G383,"", "",False),0)),false,true))"),FALSE)</f>
        <v>0</v>
      </c>
      <c r="W312" s="57" t="b">
        <f ca="1">IFERROR(__xludf.DUMMYFUNCTION("if($G312="""",false, if(isna(match(W$2, split($G312:$G383,"", "",False),0)),false,true))"),FALSE)</f>
        <v>0</v>
      </c>
    </row>
    <row r="313" spans="1:23" ht="28">
      <c r="A313" s="47" t="s">
        <v>889</v>
      </c>
      <c r="B313" s="47" t="s">
        <v>63</v>
      </c>
      <c r="C313" s="49" t="s">
        <v>850</v>
      </c>
      <c r="D313" s="52" t="s">
        <v>866</v>
      </c>
      <c r="E313" s="49" t="s">
        <v>107</v>
      </c>
      <c r="F313" s="52" t="s">
        <v>890</v>
      </c>
      <c r="G313" s="59" t="s">
        <v>110</v>
      </c>
      <c r="H313" s="53" t="b">
        <f ca="1">IFERROR(__xludf.DUMMYFUNCTION("if($G313="""",false, if(isna(match(H$2, split($G313:$G383,"", "",False),0)),false,true))"),FALSE)</f>
        <v>0</v>
      </c>
      <c r="I313" s="53" t="b">
        <f ca="1">IFERROR(__xludf.DUMMYFUNCTION("if($G313="""",false, if(isna(match(I$2, split($G313:$G383,"", "",False),0)),false,true))"),FALSE)</f>
        <v>0</v>
      </c>
      <c r="J313" s="53" t="b">
        <f ca="1">IFERROR(__xludf.DUMMYFUNCTION("if($G313="""",false, if(isna(match(J$2, split($G313:$G383,"", "",False),0)),false,true))"),TRUE)</f>
        <v>1</v>
      </c>
      <c r="K313" s="53" t="b">
        <f ca="1">IFERROR(__xludf.DUMMYFUNCTION("if($G313="""",false, if(isna(match(K$2, split($G313:$G383,"", "",False),0)),false,true))"),FALSE)</f>
        <v>0</v>
      </c>
      <c r="L313" s="53" t="b">
        <f ca="1">IFERROR(__xludf.DUMMYFUNCTION("if($G313="""",false, if(isna(match(L$2, split($G313:$G383,"", "",False),0)),false,true))"),FALSE)</f>
        <v>0</v>
      </c>
      <c r="M313" s="53" t="b">
        <f ca="1">IFERROR(__xludf.DUMMYFUNCTION("if($G313="""",false, if(isna(match(M$2, split($G313:$G383,"", "",False),0)),false,true))"),FALSE)</f>
        <v>0</v>
      </c>
      <c r="N313" s="53" t="b">
        <f ca="1">IFERROR(__xludf.DUMMYFUNCTION("if($G313="""",false, if(isna(match(N$2, split($G313:$G383,"", "",False),0)),false,true))"),FALSE)</f>
        <v>0</v>
      </c>
      <c r="O313" s="53" t="b">
        <f ca="1">IFERROR(__xludf.DUMMYFUNCTION("if($G313="""",false, if(isna(match(O$2, split($G313:$G383,"", "",False),0)),false,true))"),FALSE)</f>
        <v>0</v>
      </c>
      <c r="P313" s="53" t="b">
        <f ca="1">IFERROR(__xludf.DUMMYFUNCTION("if($G313="""",false, if(isna(match(P$2, split($G313:$G383,"", "",False),0)),false,true))"),FALSE)</f>
        <v>0</v>
      </c>
      <c r="Q313" s="53" t="b">
        <f ca="1">IFERROR(__xludf.DUMMYFUNCTION("if($G313="""",false, if(isna(match(Q$2, split($G313:$G383,"", "",False),0)),false,true))"),FALSE)</f>
        <v>0</v>
      </c>
      <c r="R313" s="53" t="b">
        <f ca="1">IFERROR(__xludf.DUMMYFUNCTION("if($G313="""",false, if(isna(match(R$2, split($G313:$G383,"", "",False),0)),false,true))"),FALSE)</f>
        <v>0</v>
      </c>
      <c r="S313" s="53" t="b">
        <f ca="1">IFERROR(__xludf.DUMMYFUNCTION("if($G313="""",false, if(isna(match(S$2, split($G313:$G383,"", "",False),0)),false,true))"),FALSE)</f>
        <v>0</v>
      </c>
      <c r="T313" s="53" t="b">
        <f ca="1">IFERROR(__xludf.DUMMYFUNCTION("if($G313="""",false, if(isna(match(T$2, split($G313:$G383,"", "",False),0)),false,true))"),FALSE)</f>
        <v>0</v>
      </c>
      <c r="U313" s="53" t="b">
        <f ca="1">IFERROR(__xludf.DUMMYFUNCTION("if($G313="""",false, if(isna(match(U$2, split($G313:$G383,"", "",False),0)),false,true))"),FALSE)</f>
        <v>0</v>
      </c>
      <c r="V313" s="53" t="b">
        <f ca="1">IFERROR(__xludf.DUMMYFUNCTION("if($G313="""",false, if(isna(match(V$2, split($G313:$G383,"", "",False),0)),false,true))"),FALSE)</f>
        <v>0</v>
      </c>
      <c r="W313" s="57" t="b">
        <f ca="1">IFERROR(__xludf.DUMMYFUNCTION("if($G313="""",false, if(isna(match(W$2, split($G313:$G383,"", "",False),0)),false,true))"),FALSE)</f>
        <v>0</v>
      </c>
    </row>
    <row r="314" spans="1:23" ht="42">
      <c r="A314" s="47" t="s">
        <v>891</v>
      </c>
      <c r="B314" s="47" t="s">
        <v>63</v>
      </c>
      <c r="C314" s="49" t="s">
        <v>850</v>
      </c>
      <c r="D314" s="52" t="s">
        <v>866</v>
      </c>
      <c r="E314" s="49" t="s">
        <v>892</v>
      </c>
      <c r="F314" s="52" t="s">
        <v>893</v>
      </c>
      <c r="G314" s="59" t="s">
        <v>110</v>
      </c>
      <c r="H314" s="53" t="b">
        <f ca="1">IFERROR(__xludf.DUMMYFUNCTION("if($G314="""",false, if(isna(match(H$2, split($G314:$G383,"", "",False),0)),false,true))"),FALSE)</f>
        <v>0</v>
      </c>
      <c r="I314" s="53" t="b">
        <f ca="1">IFERROR(__xludf.DUMMYFUNCTION("if($G314="""",false, if(isna(match(I$2, split($G314:$G383,"", "",False),0)),false,true))"),FALSE)</f>
        <v>0</v>
      </c>
      <c r="J314" s="53" t="b">
        <f ca="1">IFERROR(__xludf.DUMMYFUNCTION("if($G314="""",false, if(isna(match(J$2, split($G314:$G383,"", "",False),0)),false,true))"),TRUE)</f>
        <v>1</v>
      </c>
      <c r="K314" s="53" t="b">
        <f ca="1">IFERROR(__xludf.DUMMYFUNCTION("if($G314="""",false, if(isna(match(K$2, split($G314:$G383,"", "",False),0)),false,true))"),FALSE)</f>
        <v>0</v>
      </c>
      <c r="L314" s="53" t="b">
        <f ca="1">IFERROR(__xludf.DUMMYFUNCTION("if($G314="""",false, if(isna(match(L$2, split($G314:$G383,"", "",False),0)),false,true))"),FALSE)</f>
        <v>0</v>
      </c>
      <c r="M314" s="53" t="b">
        <f ca="1">IFERROR(__xludf.DUMMYFUNCTION("if($G314="""",false, if(isna(match(M$2, split($G314:$G383,"", "",False),0)),false,true))"),FALSE)</f>
        <v>0</v>
      </c>
      <c r="N314" s="53" t="b">
        <f ca="1">IFERROR(__xludf.DUMMYFUNCTION("if($G314="""",false, if(isna(match(N$2, split($G314:$G383,"", "",False),0)),false,true))"),FALSE)</f>
        <v>0</v>
      </c>
      <c r="O314" s="53" t="b">
        <f ca="1">IFERROR(__xludf.DUMMYFUNCTION("if($G314="""",false, if(isna(match(O$2, split($G314:$G383,"", "",False),0)),false,true))"),FALSE)</f>
        <v>0</v>
      </c>
      <c r="P314" s="53" t="b">
        <f ca="1">IFERROR(__xludf.DUMMYFUNCTION("if($G314="""",false, if(isna(match(P$2, split($G314:$G383,"", "",False),0)),false,true))"),FALSE)</f>
        <v>0</v>
      </c>
      <c r="Q314" s="53" t="b">
        <f ca="1">IFERROR(__xludf.DUMMYFUNCTION("if($G314="""",false, if(isna(match(Q$2, split($G314:$G383,"", "",False),0)),false,true))"),FALSE)</f>
        <v>0</v>
      </c>
      <c r="R314" s="53" t="b">
        <f ca="1">IFERROR(__xludf.DUMMYFUNCTION("if($G314="""",false, if(isna(match(R$2, split($G314:$G383,"", "",False),0)),false,true))"),FALSE)</f>
        <v>0</v>
      </c>
      <c r="S314" s="53" t="b">
        <f ca="1">IFERROR(__xludf.DUMMYFUNCTION("if($G314="""",false, if(isna(match(S$2, split($G314:$G383,"", "",False),0)),false,true))"),FALSE)</f>
        <v>0</v>
      </c>
      <c r="T314" s="53" t="b">
        <f ca="1">IFERROR(__xludf.DUMMYFUNCTION("if($G314="""",false, if(isna(match(T$2, split($G314:$G383,"", "",False),0)),false,true))"),FALSE)</f>
        <v>0</v>
      </c>
      <c r="U314" s="53" t="b">
        <f ca="1">IFERROR(__xludf.DUMMYFUNCTION("if($G314="""",false, if(isna(match(U$2, split($G314:$G383,"", "",False),0)),false,true))"),FALSE)</f>
        <v>0</v>
      </c>
      <c r="V314" s="53" t="b">
        <f ca="1">IFERROR(__xludf.DUMMYFUNCTION("if($G314="""",false, if(isna(match(V$2, split($G314:$G383,"", "",False),0)),false,true))"),FALSE)</f>
        <v>0</v>
      </c>
      <c r="W314" s="57" t="b">
        <f ca="1">IFERROR(__xludf.DUMMYFUNCTION("if($G314="""",false, if(isna(match(W$2, split($G314:$G383,"", "",False),0)),false,true))"),FALSE)</f>
        <v>0</v>
      </c>
    </row>
    <row r="315" spans="1:23" ht="42">
      <c r="A315" s="47" t="s">
        <v>894</v>
      </c>
      <c r="B315" s="47" t="s">
        <v>63</v>
      </c>
      <c r="C315" s="49" t="s">
        <v>850</v>
      </c>
      <c r="D315" s="52" t="s">
        <v>866</v>
      </c>
      <c r="E315" s="49" t="s">
        <v>892</v>
      </c>
      <c r="F315" s="52" t="s">
        <v>895</v>
      </c>
      <c r="G315" s="59" t="s">
        <v>110</v>
      </c>
      <c r="H315" s="53" t="b">
        <f ca="1">IFERROR(__xludf.DUMMYFUNCTION("if($G315="""",false, if(isna(match(H$2, split($G315:$G383,"", "",False),0)),false,true))"),FALSE)</f>
        <v>0</v>
      </c>
      <c r="I315" s="53" t="b">
        <f ca="1">IFERROR(__xludf.DUMMYFUNCTION("if($G315="""",false, if(isna(match(I$2, split($G315:$G383,"", "",False),0)),false,true))"),FALSE)</f>
        <v>0</v>
      </c>
      <c r="J315" s="53" t="b">
        <f ca="1">IFERROR(__xludf.DUMMYFUNCTION("if($G315="""",false, if(isna(match(J$2, split($G315:$G383,"", "",False),0)),false,true))"),TRUE)</f>
        <v>1</v>
      </c>
      <c r="K315" s="53" t="b">
        <f ca="1">IFERROR(__xludf.DUMMYFUNCTION("if($G315="""",false, if(isna(match(K$2, split($G315:$G383,"", "",False),0)),false,true))"),FALSE)</f>
        <v>0</v>
      </c>
      <c r="L315" s="53" t="b">
        <f ca="1">IFERROR(__xludf.DUMMYFUNCTION("if($G315="""",false, if(isna(match(L$2, split($G315:$G383,"", "",False),0)),false,true))"),FALSE)</f>
        <v>0</v>
      </c>
      <c r="M315" s="53" t="b">
        <f ca="1">IFERROR(__xludf.DUMMYFUNCTION("if($G315="""",false, if(isna(match(M$2, split($G315:$G383,"", "",False),0)),false,true))"),FALSE)</f>
        <v>0</v>
      </c>
      <c r="N315" s="53" t="b">
        <f ca="1">IFERROR(__xludf.DUMMYFUNCTION("if($G315="""",false, if(isna(match(N$2, split($G315:$G383,"", "",False),0)),false,true))"),FALSE)</f>
        <v>0</v>
      </c>
      <c r="O315" s="53" t="b">
        <f ca="1">IFERROR(__xludf.DUMMYFUNCTION("if($G315="""",false, if(isna(match(O$2, split($G315:$G383,"", "",False),0)),false,true))"),FALSE)</f>
        <v>0</v>
      </c>
      <c r="P315" s="53" t="b">
        <f ca="1">IFERROR(__xludf.DUMMYFUNCTION("if($G315="""",false, if(isna(match(P$2, split($G315:$G383,"", "",False),0)),false,true))"),FALSE)</f>
        <v>0</v>
      </c>
      <c r="Q315" s="53" t="b">
        <f ca="1">IFERROR(__xludf.DUMMYFUNCTION("if($G315="""",false, if(isna(match(Q$2, split($G315:$G383,"", "",False),0)),false,true))"),FALSE)</f>
        <v>0</v>
      </c>
      <c r="R315" s="53" t="b">
        <f ca="1">IFERROR(__xludf.DUMMYFUNCTION("if($G315="""",false, if(isna(match(R$2, split($G315:$G383,"", "",False),0)),false,true))"),FALSE)</f>
        <v>0</v>
      </c>
      <c r="S315" s="53" t="b">
        <f ca="1">IFERROR(__xludf.DUMMYFUNCTION("if($G315="""",false, if(isna(match(S$2, split($G315:$G383,"", "",False),0)),false,true))"),FALSE)</f>
        <v>0</v>
      </c>
      <c r="T315" s="53" t="b">
        <f ca="1">IFERROR(__xludf.DUMMYFUNCTION("if($G315="""",false, if(isna(match(T$2, split($G315:$G383,"", "",False),0)),false,true))"),FALSE)</f>
        <v>0</v>
      </c>
      <c r="U315" s="53" t="b">
        <f ca="1">IFERROR(__xludf.DUMMYFUNCTION("if($G315="""",false, if(isna(match(U$2, split($G315:$G383,"", "",False),0)),false,true))"),FALSE)</f>
        <v>0</v>
      </c>
      <c r="V315" s="53" t="b">
        <f ca="1">IFERROR(__xludf.DUMMYFUNCTION("if($G315="""",false, if(isna(match(V$2, split($G315:$G383,"", "",False),0)),false,true))"),FALSE)</f>
        <v>0</v>
      </c>
      <c r="W315" s="57" t="b">
        <f ca="1">IFERROR(__xludf.DUMMYFUNCTION("if($G315="""",false, if(isna(match(W$2, split($G315:$G383,"", "",False),0)),false,true))"),FALSE)</f>
        <v>0</v>
      </c>
    </row>
    <row r="316" spans="1:23" ht="42">
      <c r="A316" s="47" t="s">
        <v>896</v>
      </c>
      <c r="B316" s="47" t="s">
        <v>63</v>
      </c>
      <c r="C316" s="49" t="s">
        <v>850</v>
      </c>
      <c r="D316" s="52" t="s">
        <v>866</v>
      </c>
      <c r="E316" s="49" t="s">
        <v>892</v>
      </c>
      <c r="F316" s="52" t="s">
        <v>897</v>
      </c>
      <c r="G316" s="59" t="s">
        <v>110</v>
      </c>
      <c r="H316" s="53" t="b">
        <f ca="1">IFERROR(__xludf.DUMMYFUNCTION("if($G316="""",false, if(isna(match(H$2, split($G316:$G383,"", "",False),0)),false,true))"),FALSE)</f>
        <v>0</v>
      </c>
      <c r="I316" s="53" t="b">
        <f ca="1">IFERROR(__xludf.DUMMYFUNCTION("if($G316="""",false, if(isna(match(I$2, split($G316:$G383,"", "",False),0)),false,true))"),FALSE)</f>
        <v>0</v>
      </c>
      <c r="J316" s="53" t="b">
        <f ca="1">IFERROR(__xludf.DUMMYFUNCTION("if($G316="""",false, if(isna(match(J$2, split($G316:$G383,"", "",False),0)),false,true))"),TRUE)</f>
        <v>1</v>
      </c>
      <c r="K316" s="53" t="b">
        <f ca="1">IFERROR(__xludf.DUMMYFUNCTION("if($G316="""",false, if(isna(match(K$2, split($G316:$G383,"", "",False),0)),false,true))"),FALSE)</f>
        <v>0</v>
      </c>
      <c r="L316" s="53" t="b">
        <f ca="1">IFERROR(__xludf.DUMMYFUNCTION("if($G316="""",false, if(isna(match(L$2, split($G316:$G383,"", "",False),0)),false,true))"),FALSE)</f>
        <v>0</v>
      </c>
      <c r="M316" s="53" t="b">
        <f ca="1">IFERROR(__xludf.DUMMYFUNCTION("if($G316="""",false, if(isna(match(M$2, split($G316:$G383,"", "",False),0)),false,true))"),FALSE)</f>
        <v>0</v>
      </c>
      <c r="N316" s="53" t="b">
        <f ca="1">IFERROR(__xludf.DUMMYFUNCTION("if($G316="""",false, if(isna(match(N$2, split($G316:$G383,"", "",False),0)),false,true))"),FALSE)</f>
        <v>0</v>
      </c>
      <c r="O316" s="53" t="b">
        <f ca="1">IFERROR(__xludf.DUMMYFUNCTION("if($G316="""",false, if(isna(match(O$2, split($G316:$G383,"", "",False),0)),false,true))"),FALSE)</f>
        <v>0</v>
      </c>
      <c r="P316" s="53" t="b">
        <f ca="1">IFERROR(__xludf.DUMMYFUNCTION("if($G316="""",false, if(isna(match(P$2, split($G316:$G383,"", "",False),0)),false,true))"),FALSE)</f>
        <v>0</v>
      </c>
      <c r="Q316" s="53" t="b">
        <f ca="1">IFERROR(__xludf.DUMMYFUNCTION("if($G316="""",false, if(isna(match(Q$2, split($G316:$G383,"", "",False),0)),false,true))"),FALSE)</f>
        <v>0</v>
      </c>
      <c r="R316" s="53" t="b">
        <f ca="1">IFERROR(__xludf.DUMMYFUNCTION("if($G316="""",false, if(isna(match(R$2, split($G316:$G383,"", "",False),0)),false,true))"),FALSE)</f>
        <v>0</v>
      </c>
      <c r="S316" s="53" t="b">
        <f ca="1">IFERROR(__xludf.DUMMYFUNCTION("if($G316="""",false, if(isna(match(S$2, split($G316:$G383,"", "",False),0)),false,true))"),FALSE)</f>
        <v>0</v>
      </c>
      <c r="T316" s="53" t="b">
        <f ca="1">IFERROR(__xludf.DUMMYFUNCTION("if($G316="""",false, if(isna(match(T$2, split($G316:$G383,"", "",False),0)),false,true))"),FALSE)</f>
        <v>0</v>
      </c>
      <c r="U316" s="53" t="b">
        <f ca="1">IFERROR(__xludf.DUMMYFUNCTION("if($G316="""",false, if(isna(match(U$2, split($G316:$G383,"", "",False),0)),false,true))"),FALSE)</f>
        <v>0</v>
      </c>
      <c r="V316" s="53" t="b">
        <f ca="1">IFERROR(__xludf.DUMMYFUNCTION("if($G316="""",false, if(isna(match(V$2, split($G316:$G383,"", "",False),0)),false,true))"),FALSE)</f>
        <v>0</v>
      </c>
      <c r="W316" s="57" t="b">
        <f ca="1">IFERROR(__xludf.DUMMYFUNCTION("if($G316="""",false, if(isna(match(W$2, split($G316:$G383,"", "",False),0)),false,true))"),FALSE)</f>
        <v>0</v>
      </c>
    </row>
    <row r="317" spans="1:23" ht="28">
      <c r="A317" s="47" t="s">
        <v>898</v>
      </c>
      <c r="B317" s="47" t="s">
        <v>63</v>
      </c>
      <c r="C317" s="49" t="s">
        <v>850</v>
      </c>
      <c r="D317" s="52" t="s">
        <v>866</v>
      </c>
      <c r="E317" s="49" t="s">
        <v>892</v>
      </c>
      <c r="F317" s="52" t="s">
        <v>899</v>
      </c>
      <c r="G317" s="59" t="s">
        <v>110</v>
      </c>
      <c r="H317" s="53" t="b">
        <f ca="1">IFERROR(__xludf.DUMMYFUNCTION("if($G317="""",false, if(isna(match(H$2, split($G317:$G383,"", "",False),0)),false,true))"),FALSE)</f>
        <v>0</v>
      </c>
      <c r="I317" s="53" t="b">
        <f ca="1">IFERROR(__xludf.DUMMYFUNCTION("if($G317="""",false, if(isna(match(I$2, split($G317:$G383,"", "",False),0)),false,true))"),FALSE)</f>
        <v>0</v>
      </c>
      <c r="J317" s="53" t="b">
        <f ca="1">IFERROR(__xludf.DUMMYFUNCTION("if($G317="""",false, if(isna(match(J$2, split($G317:$G383,"", "",False),0)),false,true))"),TRUE)</f>
        <v>1</v>
      </c>
      <c r="K317" s="53" t="b">
        <f ca="1">IFERROR(__xludf.DUMMYFUNCTION("if($G317="""",false, if(isna(match(K$2, split($G317:$G383,"", "",False),0)),false,true))"),FALSE)</f>
        <v>0</v>
      </c>
      <c r="L317" s="53" t="b">
        <f ca="1">IFERROR(__xludf.DUMMYFUNCTION("if($G317="""",false, if(isna(match(L$2, split($G317:$G383,"", "",False),0)),false,true))"),FALSE)</f>
        <v>0</v>
      </c>
      <c r="M317" s="53" t="b">
        <f ca="1">IFERROR(__xludf.DUMMYFUNCTION("if($G317="""",false, if(isna(match(M$2, split($G317:$G383,"", "",False),0)),false,true))"),FALSE)</f>
        <v>0</v>
      </c>
      <c r="N317" s="53" t="b">
        <f ca="1">IFERROR(__xludf.DUMMYFUNCTION("if($G317="""",false, if(isna(match(N$2, split($G317:$G383,"", "",False),0)),false,true))"),FALSE)</f>
        <v>0</v>
      </c>
      <c r="O317" s="53" t="b">
        <f ca="1">IFERROR(__xludf.DUMMYFUNCTION("if($G317="""",false, if(isna(match(O$2, split($G317:$G383,"", "",False),0)),false,true))"),FALSE)</f>
        <v>0</v>
      </c>
      <c r="P317" s="53" t="b">
        <f ca="1">IFERROR(__xludf.DUMMYFUNCTION("if($G317="""",false, if(isna(match(P$2, split($G317:$G383,"", "",False),0)),false,true))"),FALSE)</f>
        <v>0</v>
      </c>
      <c r="Q317" s="53" t="b">
        <f ca="1">IFERROR(__xludf.DUMMYFUNCTION("if($G317="""",false, if(isna(match(Q$2, split($G317:$G383,"", "",False),0)),false,true))"),FALSE)</f>
        <v>0</v>
      </c>
      <c r="R317" s="53" t="b">
        <f ca="1">IFERROR(__xludf.DUMMYFUNCTION("if($G317="""",false, if(isna(match(R$2, split($G317:$G383,"", "",False),0)),false,true))"),FALSE)</f>
        <v>0</v>
      </c>
      <c r="S317" s="53" t="b">
        <f ca="1">IFERROR(__xludf.DUMMYFUNCTION("if($G317="""",false, if(isna(match(S$2, split($G317:$G383,"", "",False),0)),false,true))"),FALSE)</f>
        <v>0</v>
      </c>
      <c r="T317" s="53" t="b">
        <f ca="1">IFERROR(__xludf.DUMMYFUNCTION("if($G317="""",false, if(isna(match(T$2, split($G317:$G383,"", "",False),0)),false,true))"),FALSE)</f>
        <v>0</v>
      </c>
      <c r="U317" s="53" t="b">
        <f ca="1">IFERROR(__xludf.DUMMYFUNCTION("if($G317="""",false, if(isna(match(U$2, split($G317:$G383,"", "",False),0)),false,true))"),FALSE)</f>
        <v>0</v>
      </c>
      <c r="V317" s="53" t="b">
        <f ca="1">IFERROR(__xludf.DUMMYFUNCTION("if($G317="""",false, if(isna(match(V$2, split($G317:$G383,"", "",False),0)),false,true))"),FALSE)</f>
        <v>0</v>
      </c>
      <c r="W317" s="57" t="b">
        <f ca="1">IFERROR(__xludf.DUMMYFUNCTION("if($G317="""",false, if(isna(match(W$2, split($G317:$G383,"", "",False),0)),false,true))"),FALSE)</f>
        <v>0</v>
      </c>
    </row>
    <row r="318" spans="1:23" ht="14">
      <c r="A318" s="47" t="s">
        <v>900</v>
      </c>
      <c r="B318" s="47" t="s">
        <v>63</v>
      </c>
      <c r="C318" s="49" t="s">
        <v>850</v>
      </c>
      <c r="D318" s="52" t="s">
        <v>866</v>
      </c>
      <c r="E318" s="49" t="s">
        <v>892</v>
      </c>
      <c r="F318" s="52" t="s">
        <v>901</v>
      </c>
      <c r="G318" s="59" t="s">
        <v>110</v>
      </c>
      <c r="H318" s="53" t="b">
        <f ca="1">IFERROR(__xludf.DUMMYFUNCTION("if($G318="""",false, if(isna(match(H$2, split($G318:$G383,"", "",False),0)),false,true))"),FALSE)</f>
        <v>0</v>
      </c>
      <c r="I318" s="53" t="b">
        <f ca="1">IFERROR(__xludf.DUMMYFUNCTION("if($G318="""",false, if(isna(match(I$2, split($G318:$G383,"", "",False),0)),false,true))"),FALSE)</f>
        <v>0</v>
      </c>
      <c r="J318" s="53" t="b">
        <f ca="1">IFERROR(__xludf.DUMMYFUNCTION("if($G318="""",false, if(isna(match(J$2, split($G318:$G383,"", "",False),0)),false,true))"),TRUE)</f>
        <v>1</v>
      </c>
      <c r="K318" s="53" t="b">
        <f ca="1">IFERROR(__xludf.DUMMYFUNCTION("if($G318="""",false, if(isna(match(K$2, split($G318:$G383,"", "",False),0)),false,true))"),FALSE)</f>
        <v>0</v>
      </c>
      <c r="L318" s="53" t="b">
        <f ca="1">IFERROR(__xludf.DUMMYFUNCTION("if($G318="""",false, if(isna(match(L$2, split($G318:$G383,"", "",False),0)),false,true))"),FALSE)</f>
        <v>0</v>
      </c>
      <c r="M318" s="53" t="b">
        <f ca="1">IFERROR(__xludf.DUMMYFUNCTION("if($G318="""",false, if(isna(match(M$2, split($G318:$G383,"", "",False),0)),false,true))"),FALSE)</f>
        <v>0</v>
      </c>
      <c r="N318" s="53" t="b">
        <f ca="1">IFERROR(__xludf.DUMMYFUNCTION("if($G318="""",false, if(isna(match(N$2, split($G318:$G383,"", "",False),0)),false,true))"),FALSE)</f>
        <v>0</v>
      </c>
      <c r="O318" s="53" t="b">
        <f ca="1">IFERROR(__xludf.DUMMYFUNCTION("if($G318="""",false, if(isna(match(O$2, split($G318:$G383,"", "",False),0)),false,true))"),FALSE)</f>
        <v>0</v>
      </c>
      <c r="P318" s="53" t="b">
        <f ca="1">IFERROR(__xludf.DUMMYFUNCTION("if($G318="""",false, if(isna(match(P$2, split($G318:$G383,"", "",False),0)),false,true))"),FALSE)</f>
        <v>0</v>
      </c>
      <c r="Q318" s="53" t="b">
        <f ca="1">IFERROR(__xludf.DUMMYFUNCTION("if($G318="""",false, if(isna(match(Q$2, split($G318:$G383,"", "",False),0)),false,true))"),FALSE)</f>
        <v>0</v>
      </c>
      <c r="R318" s="53" t="b">
        <f ca="1">IFERROR(__xludf.DUMMYFUNCTION("if($G318="""",false, if(isna(match(R$2, split($G318:$G383,"", "",False),0)),false,true))"),FALSE)</f>
        <v>0</v>
      </c>
      <c r="S318" s="53" t="b">
        <f ca="1">IFERROR(__xludf.DUMMYFUNCTION("if($G318="""",false, if(isna(match(S$2, split($G318:$G383,"", "",False),0)),false,true))"),FALSE)</f>
        <v>0</v>
      </c>
      <c r="T318" s="53" t="b">
        <f ca="1">IFERROR(__xludf.DUMMYFUNCTION("if($G318="""",false, if(isna(match(T$2, split($G318:$G383,"", "",False),0)),false,true))"),FALSE)</f>
        <v>0</v>
      </c>
      <c r="U318" s="53" t="b">
        <f ca="1">IFERROR(__xludf.DUMMYFUNCTION("if($G318="""",false, if(isna(match(U$2, split($G318:$G383,"", "",False),0)),false,true))"),FALSE)</f>
        <v>0</v>
      </c>
      <c r="V318" s="53" t="b">
        <f ca="1">IFERROR(__xludf.DUMMYFUNCTION("if($G318="""",false, if(isna(match(V$2, split($G318:$G383,"", "",False),0)),false,true))"),FALSE)</f>
        <v>0</v>
      </c>
      <c r="W318" s="57" t="b">
        <f ca="1">IFERROR(__xludf.DUMMYFUNCTION("if($G318="""",false, if(isna(match(W$2, split($G318:$G383,"", "",False),0)),false,true))"),FALSE)</f>
        <v>0</v>
      </c>
    </row>
    <row r="319" spans="1:23" ht="28">
      <c r="A319" s="47" t="s">
        <v>902</v>
      </c>
      <c r="B319" s="47" t="s">
        <v>63</v>
      </c>
      <c r="C319" s="49" t="s">
        <v>850</v>
      </c>
      <c r="D319" s="52" t="s">
        <v>866</v>
      </c>
      <c r="E319" s="49" t="s">
        <v>892</v>
      </c>
      <c r="F319" s="52" t="s">
        <v>903</v>
      </c>
      <c r="G319" s="59" t="s">
        <v>110</v>
      </c>
      <c r="H319" s="53" t="b">
        <f ca="1">IFERROR(__xludf.DUMMYFUNCTION("if($G319="""",false, if(isna(match(H$2, split($G319:$G383,"", "",False),0)),false,true))"),FALSE)</f>
        <v>0</v>
      </c>
      <c r="I319" s="53" t="b">
        <f ca="1">IFERROR(__xludf.DUMMYFUNCTION("if($G319="""",false, if(isna(match(I$2, split($G319:$G383,"", "",False),0)),false,true))"),FALSE)</f>
        <v>0</v>
      </c>
      <c r="J319" s="53" t="b">
        <f ca="1">IFERROR(__xludf.DUMMYFUNCTION("if($G319="""",false, if(isna(match(J$2, split($G319:$G383,"", "",False),0)),false,true))"),TRUE)</f>
        <v>1</v>
      </c>
      <c r="K319" s="53" t="b">
        <f ca="1">IFERROR(__xludf.DUMMYFUNCTION("if($G319="""",false, if(isna(match(K$2, split($G319:$G383,"", "",False),0)),false,true))"),FALSE)</f>
        <v>0</v>
      </c>
      <c r="L319" s="53" t="b">
        <f ca="1">IFERROR(__xludf.DUMMYFUNCTION("if($G319="""",false, if(isna(match(L$2, split($G319:$G383,"", "",False),0)),false,true))"),FALSE)</f>
        <v>0</v>
      </c>
      <c r="M319" s="53" t="b">
        <f ca="1">IFERROR(__xludf.DUMMYFUNCTION("if($G319="""",false, if(isna(match(M$2, split($G319:$G383,"", "",False),0)),false,true))"),FALSE)</f>
        <v>0</v>
      </c>
      <c r="N319" s="53" t="b">
        <f ca="1">IFERROR(__xludf.DUMMYFUNCTION("if($G319="""",false, if(isna(match(N$2, split($G319:$G383,"", "",False),0)),false,true))"),FALSE)</f>
        <v>0</v>
      </c>
      <c r="O319" s="53" t="b">
        <f ca="1">IFERROR(__xludf.DUMMYFUNCTION("if($G319="""",false, if(isna(match(O$2, split($G319:$G383,"", "",False),0)),false,true))"),FALSE)</f>
        <v>0</v>
      </c>
      <c r="P319" s="53" t="b">
        <f ca="1">IFERROR(__xludf.DUMMYFUNCTION("if($G319="""",false, if(isna(match(P$2, split($G319:$G383,"", "",False),0)),false,true))"),FALSE)</f>
        <v>0</v>
      </c>
      <c r="Q319" s="53" t="b">
        <f ca="1">IFERROR(__xludf.DUMMYFUNCTION("if($G319="""",false, if(isna(match(Q$2, split($G319:$G383,"", "",False),0)),false,true))"),FALSE)</f>
        <v>0</v>
      </c>
      <c r="R319" s="53" t="b">
        <f ca="1">IFERROR(__xludf.DUMMYFUNCTION("if($G319="""",false, if(isna(match(R$2, split($G319:$G383,"", "",False),0)),false,true))"),FALSE)</f>
        <v>0</v>
      </c>
      <c r="S319" s="53" t="b">
        <f ca="1">IFERROR(__xludf.DUMMYFUNCTION("if($G319="""",false, if(isna(match(S$2, split($G319:$G383,"", "",False),0)),false,true))"),FALSE)</f>
        <v>0</v>
      </c>
      <c r="T319" s="53" t="b">
        <f ca="1">IFERROR(__xludf.DUMMYFUNCTION("if($G319="""",false, if(isna(match(T$2, split($G319:$G383,"", "",False),0)),false,true))"),FALSE)</f>
        <v>0</v>
      </c>
      <c r="U319" s="53" t="b">
        <f ca="1">IFERROR(__xludf.DUMMYFUNCTION("if($G319="""",false, if(isna(match(U$2, split($G319:$G383,"", "",False),0)),false,true))"),FALSE)</f>
        <v>0</v>
      </c>
      <c r="V319" s="53" t="b">
        <f ca="1">IFERROR(__xludf.DUMMYFUNCTION("if($G319="""",false, if(isna(match(V$2, split($G319:$G383,"", "",False),0)),false,true))"),FALSE)</f>
        <v>0</v>
      </c>
      <c r="W319" s="57" t="b">
        <f ca="1">IFERROR(__xludf.DUMMYFUNCTION("if($G319="""",false, if(isna(match(W$2, split($G319:$G383,"", "",False),0)),false,true))"),FALSE)</f>
        <v>0</v>
      </c>
    </row>
    <row r="320" spans="1:23" ht="14">
      <c r="A320" s="47" t="s">
        <v>904</v>
      </c>
      <c r="B320" s="47" t="s">
        <v>63</v>
      </c>
      <c r="C320" s="49" t="s">
        <v>850</v>
      </c>
      <c r="D320" s="52" t="s">
        <v>866</v>
      </c>
      <c r="E320" s="49" t="s">
        <v>892</v>
      </c>
      <c r="F320" s="52" t="s">
        <v>905</v>
      </c>
      <c r="G320" s="59" t="s">
        <v>110</v>
      </c>
      <c r="H320" s="53" t="b">
        <f ca="1">IFERROR(__xludf.DUMMYFUNCTION("if($G320="""",false, if(isna(match(H$2, split($G320:$G383,"", "",False),0)),false,true))"),FALSE)</f>
        <v>0</v>
      </c>
      <c r="I320" s="53" t="b">
        <f ca="1">IFERROR(__xludf.DUMMYFUNCTION("if($G320="""",false, if(isna(match(I$2, split($G320:$G383,"", "",False),0)),false,true))"),FALSE)</f>
        <v>0</v>
      </c>
      <c r="J320" s="53" t="b">
        <f ca="1">IFERROR(__xludf.DUMMYFUNCTION("if($G320="""",false, if(isna(match(J$2, split($G320:$G383,"", "",False),0)),false,true))"),TRUE)</f>
        <v>1</v>
      </c>
      <c r="K320" s="53" t="b">
        <f ca="1">IFERROR(__xludf.DUMMYFUNCTION("if($G320="""",false, if(isna(match(K$2, split($G320:$G383,"", "",False),0)),false,true))"),FALSE)</f>
        <v>0</v>
      </c>
      <c r="L320" s="53" t="b">
        <f ca="1">IFERROR(__xludf.DUMMYFUNCTION("if($G320="""",false, if(isna(match(L$2, split($G320:$G383,"", "",False),0)),false,true))"),FALSE)</f>
        <v>0</v>
      </c>
      <c r="M320" s="53" t="b">
        <f ca="1">IFERROR(__xludf.DUMMYFUNCTION("if($G320="""",false, if(isna(match(M$2, split($G320:$G383,"", "",False),0)),false,true))"),FALSE)</f>
        <v>0</v>
      </c>
      <c r="N320" s="53" t="b">
        <f ca="1">IFERROR(__xludf.DUMMYFUNCTION("if($G320="""",false, if(isna(match(N$2, split($G320:$G383,"", "",False),0)),false,true))"),FALSE)</f>
        <v>0</v>
      </c>
      <c r="O320" s="53" t="b">
        <f ca="1">IFERROR(__xludf.DUMMYFUNCTION("if($G320="""",false, if(isna(match(O$2, split($G320:$G383,"", "",False),0)),false,true))"),FALSE)</f>
        <v>0</v>
      </c>
      <c r="P320" s="53" t="b">
        <f ca="1">IFERROR(__xludf.DUMMYFUNCTION("if($G320="""",false, if(isna(match(P$2, split($G320:$G383,"", "",False),0)),false,true))"),FALSE)</f>
        <v>0</v>
      </c>
      <c r="Q320" s="53" t="b">
        <f ca="1">IFERROR(__xludf.DUMMYFUNCTION("if($G320="""",false, if(isna(match(Q$2, split($G320:$G383,"", "",False),0)),false,true))"),FALSE)</f>
        <v>0</v>
      </c>
      <c r="R320" s="53" t="b">
        <f ca="1">IFERROR(__xludf.DUMMYFUNCTION("if($G320="""",false, if(isna(match(R$2, split($G320:$G383,"", "",False),0)),false,true))"),FALSE)</f>
        <v>0</v>
      </c>
      <c r="S320" s="53" t="b">
        <f ca="1">IFERROR(__xludf.DUMMYFUNCTION("if($G320="""",false, if(isna(match(S$2, split($G320:$G383,"", "",False),0)),false,true))"),FALSE)</f>
        <v>0</v>
      </c>
      <c r="T320" s="53" t="b">
        <f ca="1">IFERROR(__xludf.DUMMYFUNCTION("if($G320="""",false, if(isna(match(T$2, split($G320:$G383,"", "",False),0)),false,true))"),FALSE)</f>
        <v>0</v>
      </c>
      <c r="U320" s="53" t="b">
        <f ca="1">IFERROR(__xludf.DUMMYFUNCTION("if($G320="""",false, if(isna(match(U$2, split($G320:$G383,"", "",False),0)),false,true))"),FALSE)</f>
        <v>0</v>
      </c>
      <c r="V320" s="53" t="b">
        <f ca="1">IFERROR(__xludf.DUMMYFUNCTION("if($G320="""",false, if(isna(match(V$2, split($G320:$G383,"", "",False),0)),false,true))"),FALSE)</f>
        <v>0</v>
      </c>
      <c r="W320" s="57" t="b">
        <f ca="1">IFERROR(__xludf.DUMMYFUNCTION("if($G320="""",false, if(isna(match(W$2, split($G320:$G383,"", "",False),0)),false,true))"),FALSE)</f>
        <v>0</v>
      </c>
    </row>
    <row r="321" spans="1:23" ht="84">
      <c r="A321" s="47" t="s">
        <v>906</v>
      </c>
      <c r="B321" s="47" t="s">
        <v>63</v>
      </c>
      <c r="C321" s="49" t="s">
        <v>850</v>
      </c>
      <c r="D321" s="52" t="s">
        <v>866</v>
      </c>
      <c r="E321" s="49" t="s">
        <v>892</v>
      </c>
      <c r="F321" s="52" t="s">
        <v>907</v>
      </c>
      <c r="G321" s="59" t="s">
        <v>110</v>
      </c>
      <c r="H321" s="53" t="b">
        <f ca="1">IFERROR(__xludf.DUMMYFUNCTION("if($G321="""",false, if(isna(match(H$2, split($G321:$G383,"", "",False),0)),false,true))"),FALSE)</f>
        <v>0</v>
      </c>
      <c r="I321" s="53" t="b">
        <f ca="1">IFERROR(__xludf.DUMMYFUNCTION("if($G321="""",false, if(isna(match(I$2, split($G321:$G383,"", "",False),0)),false,true))"),FALSE)</f>
        <v>0</v>
      </c>
      <c r="J321" s="53" t="b">
        <f ca="1">IFERROR(__xludf.DUMMYFUNCTION("if($G321="""",false, if(isna(match(J$2, split($G321:$G383,"", "",False),0)),false,true))"),TRUE)</f>
        <v>1</v>
      </c>
      <c r="K321" s="53" t="b">
        <f ca="1">IFERROR(__xludf.DUMMYFUNCTION("if($G321="""",false, if(isna(match(K$2, split($G321:$G383,"", "",False),0)),false,true))"),FALSE)</f>
        <v>0</v>
      </c>
      <c r="L321" s="53" t="b">
        <f ca="1">IFERROR(__xludf.DUMMYFUNCTION("if($G321="""",false, if(isna(match(L$2, split($G321:$G383,"", "",False),0)),false,true))"),FALSE)</f>
        <v>0</v>
      </c>
      <c r="M321" s="53" t="b">
        <f ca="1">IFERROR(__xludf.DUMMYFUNCTION("if($G321="""",false, if(isna(match(M$2, split($G321:$G383,"", "",False),0)),false,true))"),FALSE)</f>
        <v>0</v>
      </c>
      <c r="N321" s="53" t="b">
        <f ca="1">IFERROR(__xludf.DUMMYFUNCTION("if($G321="""",false, if(isna(match(N$2, split($G321:$G383,"", "",False),0)),false,true))"),FALSE)</f>
        <v>0</v>
      </c>
      <c r="O321" s="53" t="b">
        <f ca="1">IFERROR(__xludf.DUMMYFUNCTION("if($G321="""",false, if(isna(match(O$2, split($G321:$G383,"", "",False),0)),false,true))"),FALSE)</f>
        <v>0</v>
      </c>
      <c r="P321" s="53" t="b">
        <f ca="1">IFERROR(__xludf.DUMMYFUNCTION("if($G321="""",false, if(isna(match(P$2, split($G321:$G383,"", "",False),0)),false,true))"),FALSE)</f>
        <v>0</v>
      </c>
      <c r="Q321" s="53" t="b">
        <f ca="1">IFERROR(__xludf.DUMMYFUNCTION("if($G321="""",false, if(isna(match(Q$2, split($G321:$G383,"", "",False),0)),false,true))"),FALSE)</f>
        <v>0</v>
      </c>
      <c r="R321" s="53" t="b">
        <f ca="1">IFERROR(__xludf.DUMMYFUNCTION("if($G321="""",false, if(isna(match(R$2, split($G321:$G383,"", "",False),0)),false,true))"),FALSE)</f>
        <v>0</v>
      </c>
      <c r="S321" s="53" t="b">
        <f ca="1">IFERROR(__xludf.DUMMYFUNCTION("if($G321="""",false, if(isna(match(S$2, split($G321:$G383,"", "",False),0)),false,true))"),FALSE)</f>
        <v>0</v>
      </c>
      <c r="T321" s="53" t="b">
        <f ca="1">IFERROR(__xludf.DUMMYFUNCTION("if($G321="""",false, if(isna(match(T$2, split($G321:$G383,"", "",False),0)),false,true))"),FALSE)</f>
        <v>0</v>
      </c>
      <c r="U321" s="53" t="b">
        <f ca="1">IFERROR(__xludf.DUMMYFUNCTION("if($G321="""",false, if(isna(match(U$2, split($G321:$G383,"", "",False),0)),false,true))"),FALSE)</f>
        <v>0</v>
      </c>
      <c r="V321" s="53" t="b">
        <f ca="1">IFERROR(__xludf.DUMMYFUNCTION("if($G321="""",false, if(isna(match(V$2, split($G321:$G383,"", "",False),0)),false,true))"),FALSE)</f>
        <v>0</v>
      </c>
      <c r="W321" s="57" t="b">
        <f ca="1">IFERROR(__xludf.DUMMYFUNCTION("if($G321="""",false, if(isna(match(W$2, split($G321:$G383,"", "",False),0)),false,true))"),FALSE)</f>
        <v>0</v>
      </c>
    </row>
    <row r="322" spans="1:23" ht="28">
      <c r="A322" s="47" t="s">
        <v>908</v>
      </c>
      <c r="B322" s="47" t="s">
        <v>63</v>
      </c>
      <c r="C322" s="49" t="s">
        <v>850</v>
      </c>
      <c r="D322" s="52" t="s">
        <v>866</v>
      </c>
      <c r="E322" s="49" t="s">
        <v>892</v>
      </c>
      <c r="F322" s="52" t="s">
        <v>909</v>
      </c>
      <c r="G322" s="59" t="s">
        <v>110</v>
      </c>
      <c r="H322" s="53" t="b">
        <f ca="1">IFERROR(__xludf.DUMMYFUNCTION("if($G322="""",false, if(isna(match(H$2, split($G322:$G383,"", "",False),0)),false,true))"),FALSE)</f>
        <v>0</v>
      </c>
      <c r="I322" s="53" t="b">
        <f ca="1">IFERROR(__xludf.DUMMYFUNCTION("if($G322="""",false, if(isna(match(I$2, split($G322:$G383,"", "",False),0)),false,true))"),FALSE)</f>
        <v>0</v>
      </c>
      <c r="J322" s="53" t="b">
        <f ca="1">IFERROR(__xludf.DUMMYFUNCTION("if($G322="""",false, if(isna(match(J$2, split($G322:$G383,"", "",False),0)),false,true))"),TRUE)</f>
        <v>1</v>
      </c>
      <c r="K322" s="53" t="b">
        <f ca="1">IFERROR(__xludf.DUMMYFUNCTION("if($G322="""",false, if(isna(match(K$2, split($G322:$G383,"", "",False),0)),false,true))"),FALSE)</f>
        <v>0</v>
      </c>
      <c r="L322" s="53" t="b">
        <f ca="1">IFERROR(__xludf.DUMMYFUNCTION("if($G322="""",false, if(isna(match(L$2, split($G322:$G383,"", "",False),0)),false,true))"),FALSE)</f>
        <v>0</v>
      </c>
      <c r="M322" s="53" t="b">
        <f ca="1">IFERROR(__xludf.DUMMYFUNCTION("if($G322="""",false, if(isna(match(M$2, split($G322:$G383,"", "",False),0)),false,true))"),FALSE)</f>
        <v>0</v>
      </c>
      <c r="N322" s="53" t="b">
        <f ca="1">IFERROR(__xludf.DUMMYFUNCTION("if($G322="""",false, if(isna(match(N$2, split($G322:$G383,"", "",False),0)),false,true))"),FALSE)</f>
        <v>0</v>
      </c>
      <c r="O322" s="53" t="b">
        <f ca="1">IFERROR(__xludf.DUMMYFUNCTION("if($G322="""",false, if(isna(match(O$2, split($G322:$G383,"", "",False),0)),false,true))"),FALSE)</f>
        <v>0</v>
      </c>
      <c r="P322" s="53" t="b">
        <f ca="1">IFERROR(__xludf.DUMMYFUNCTION("if($G322="""",false, if(isna(match(P$2, split($G322:$G383,"", "",False),0)),false,true))"),FALSE)</f>
        <v>0</v>
      </c>
      <c r="Q322" s="53" t="b">
        <f ca="1">IFERROR(__xludf.DUMMYFUNCTION("if($G322="""",false, if(isna(match(Q$2, split($G322:$G383,"", "",False),0)),false,true))"),FALSE)</f>
        <v>0</v>
      </c>
      <c r="R322" s="53" t="b">
        <f ca="1">IFERROR(__xludf.DUMMYFUNCTION("if($G322="""",false, if(isna(match(R$2, split($G322:$G383,"", "",False),0)),false,true))"),FALSE)</f>
        <v>0</v>
      </c>
      <c r="S322" s="53" t="b">
        <f ca="1">IFERROR(__xludf.DUMMYFUNCTION("if($G322="""",false, if(isna(match(S$2, split($G322:$G383,"", "",False),0)),false,true))"),FALSE)</f>
        <v>0</v>
      </c>
      <c r="T322" s="53" t="b">
        <f ca="1">IFERROR(__xludf.DUMMYFUNCTION("if($G322="""",false, if(isna(match(T$2, split($G322:$G383,"", "",False),0)),false,true))"),FALSE)</f>
        <v>0</v>
      </c>
      <c r="U322" s="53" t="b">
        <f ca="1">IFERROR(__xludf.DUMMYFUNCTION("if($G322="""",false, if(isna(match(U$2, split($G322:$G383,"", "",False),0)),false,true))"),FALSE)</f>
        <v>0</v>
      </c>
      <c r="V322" s="53" t="b">
        <f ca="1">IFERROR(__xludf.DUMMYFUNCTION("if($G322="""",false, if(isna(match(V$2, split($G322:$G383,"", "",False),0)),false,true))"),FALSE)</f>
        <v>0</v>
      </c>
      <c r="W322" s="57" t="b">
        <f ca="1">IFERROR(__xludf.DUMMYFUNCTION("if($G322="""",false, if(isna(match(W$2, split($G322:$G383,"", "",False),0)),false,true))"),FALSE)</f>
        <v>0</v>
      </c>
    </row>
    <row r="323" spans="1:23" ht="14">
      <c r="A323" s="47" t="s">
        <v>910</v>
      </c>
      <c r="B323" s="47" t="s">
        <v>63</v>
      </c>
      <c r="C323" s="49" t="s">
        <v>850</v>
      </c>
      <c r="D323" s="52" t="s">
        <v>866</v>
      </c>
      <c r="E323" s="49" t="s">
        <v>892</v>
      </c>
      <c r="F323" s="52" t="s">
        <v>911</v>
      </c>
      <c r="G323" s="59" t="s">
        <v>110</v>
      </c>
      <c r="H323" s="53" t="b">
        <f ca="1">IFERROR(__xludf.DUMMYFUNCTION("if($G323="""",false, if(isna(match(H$2, split($G323:$G383,"", "",False),0)),false,true))"),FALSE)</f>
        <v>0</v>
      </c>
      <c r="I323" s="53" t="b">
        <f ca="1">IFERROR(__xludf.DUMMYFUNCTION("if($G323="""",false, if(isna(match(I$2, split($G323:$G383,"", "",False),0)),false,true))"),FALSE)</f>
        <v>0</v>
      </c>
      <c r="J323" s="53" t="b">
        <f ca="1">IFERROR(__xludf.DUMMYFUNCTION("if($G323="""",false, if(isna(match(J$2, split($G323:$G383,"", "",False),0)),false,true))"),TRUE)</f>
        <v>1</v>
      </c>
      <c r="K323" s="53" t="b">
        <f ca="1">IFERROR(__xludf.DUMMYFUNCTION("if($G323="""",false, if(isna(match(K$2, split($G323:$G383,"", "",False),0)),false,true))"),FALSE)</f>
        <v>0</v>
      </c>
      <c r="L323" s="53" t="b">
        <f ca="1">IFERROR(__xludf.DUMMYFUNCTION("if($G323="""",false, if(isna(match(L$2, split($G323:$G383,"", "",False),0)),false,true))"),FALSE)</f>
        <v>0</v>
      </c>
      <c r="M323" s="53" t="b">
        <f ca="1">IFERROR(__xludf.DUMMYFUNCTION("if($G323="""",false, if(isna(match(M$2, split($G323:$G383,"", "",False),0)),false,true))"),FALSE)</f>
        <v>0</v>
      </c>
      <c r="N323" s="53" t="b">
        <f ca="1">IFERROR(__xludf.DUMMYFUNCTION("if($G323="""",false, if(isna(match(N$2, split($G323:$G383,"", "",False),0)),false,true))"),FALSE)</f>
        <v>0</v>
      </c>
      <c r="O323" s="53" t="b">
        <f ca="1">IFERROR(__xludf.DUMMYFUNCTION("if($G323="""",false, if(isna(match(O$2, split($G323:$G383,"", "",False),0)),false,true))"),FALSE)</f>
        <v>0</v>
      </c>
      <c r="P323" s="53" t="b">
        <f ca="1">IFERROR(__xludf.DUMMYFUNCTION("if($G323="""",false, if(isna(match(P$2, split($G323:$G383,"", "",False),0)),false,true))"),FALSE)</f>
        <v>0</v>
      </c>
      <c r="Q323" s="53" t="b">
        <f ca="1">IFERROR(__xludf.DUMMYFUNCTION("if($G323="""",false, if(isna(match(Q$2, split($G323:$G383,"", "",False),0)),false,true))"),FALSE)</f>
        <v>0</v>
      </c>
      <c r="R323" s="53" t="b">
        <f ca="1">IFERROR(__xludf.DUMMYFUNCTION("if($G323="""",false, if(isna(match(R$2, split($G323:$G383,"", "",False),0)),false,true))"),FALSE)</f>
        <v>0</v>
      </c>
      <c r="S323" s="53" t="b">
        <f ca="1">IFERROR(__xludf.DUMMYFUNCTION("if($G323="""",false, if(isna(match(S$2, split($G323:$G383,"", "",False),0)),false,true))"),FALSE)</f>
        <v>0</v>
      </c>
      <c r="T323" s="53" t="b">
        <f ca="1">IFERROR(__xludf.DUMMYFUNCTION("if($G323="""",false, if(isna(match(T$2, split($G323:$G383,"", "",False),0)),false,true))"),FALSE)</f>
        <v>0</v>
      </c>
      <c r="U323" s="53" t="b">
        <f ca="1">IFERROR(__xludf.DUMMYFUNCTION("if($G323="""",false, if(isna(match(U$2, split($G323:$G383,"", "",False),0)),false,true))"),FALSE)</f>
        <v>0</v>
      </c>
      <c r="V323" s="53" t="b">
        <f ca="1">IFERROR(__xludf.DUMMYFUNCTION("if($G323="""",false, if(isna(match(V$2, split($G323:$G383,"", "",False),0)),false,true))"),FALSE)</f>
        <v>0</v>
      </c>
      <c r="W323" s="57" t="b">
        <f ca="1">IFERROR(__xludf.DUMMYFUNCTION("if($G323="""",false, if(isna(match(W$2, split($G323:$G383,"", "",False),0)),false,true))"),FALSE)</f>
        <v>0</v>
      </c>
    </row>
    <row r="324" spans="1:23" ht="42">
      <c r="A324" s="47" t="s">
        <v>912</v>
      </c>
      <c r="B324" s="47" t="s">
        <v>63</v>
      </c>
      <c r="C324" s="49" t="s">
        <v>850</v>
      </c>
      <c r="D324" s="52" t="s">
        <v>866</v>
      </c>
      <c r="E324" s="49" t="s">
        <v>892</v>
      </c>
      <c r="F324" s="52" t="s">
        <v>913</v>
      </c>
      <c r="G324" s="59" t="s">
        <v>110</v>
      </c>
      <c r="H324" s="53" t="b">
        <f ca="1">IFERROR(__xludf.DUMMYFUNCTION("if($G324="""",false, if(isna(match(H$2, split($G324:$G383,"", "",False),0)),false,true))"),FALSE)</f>
        <v>0</v>
      </c>
      <c r="I324" s="53" t="b">
        <f ca="1">IFERROR(__xludf.DUMMYFUNCTION("if($G324="""",false, if(isna(match(I$2, split($G324:$G383,"", "",False),0)),false,true))"),FALSE)</f>
        <v>0</v>
      </c>
      <c r="J324" s="53" t="b">
        <f ca="1">IFERROR(__xludf.DUMMYFUNCTION("if($G324="""",false, if(isna(match(J$2, split($G324:$G383,"", "",False),0)),false,true))"),TRUE)</f>
        <v>1</v>
      </c>
      <c r="K324" s="53" t="b">
        <f ca="1">IFERROR(__xludf.DUMMYFUNCTION("if($G324="""",false, if(isna(match(K$2, split($G324:$G383,"", "",False),0)),false,true))"),FALSE)</f>
        <v>0</v>
      </c>
      <c r="L324" s="53" t="b">
        <f ca="1">IFERROR(__xludf.DUMMYFUNCTION("if($G324="""",false, if(isna(match(L$2, split($G324:$G383,"", "",False),0)),false,true))"),FALSE)</f>
        <v>0</v>
      </c>
      <c r="M324" s="53" t="b">
        <f ca="1">IFERROR(__xludf.DUMMYFUNCTION("if($G324="""",false, if(isna(match(M$2, split($G324:$G383,"", "",False),0)),false,true))"),FALSE)</f>
        <v>0</v>
      </c>
      <c r="N324" s="53" t="b">
        <f ca="1">IFERROR(__xludf.DUMMYFUNCTION("if($G324="""",false, if(isna(match(N$2, split($G324:$G383,"", "",False),0)),false,true))"),FALSE)</f>
        <v>0</v>
      </c>
      <c r="O324" s="53" t="b">
        <f ca="1">IFERROR(__xludf.DUMMYFUNCTION("if($G324="""",false, if(isna(match(O$2, split($G324:$G383,"", "",False),0)),false,true))"),FALSE)</f>
        <v>0</v>
      </c>
      <c r="P324" s="53" t="b">
        <f ca="1">IFERROR(__xludf.DUMMYFUNCTION("if($G324="""",false, if(isna(match(P$2, split($G324:$G383,"", "",False),0)),false,true))"),FALSE)</f>
        <v>0</v>
      </c>
      <c r="Q324" s="53" t="b">
        <f ca="1">IFERROR(__xludf.DUMMYFUNCTION("if($G324="""",false, if(isna(match(Q$2, split($G324:$G383,"", "",False),0)),false,true))"),FALSE)</f>
        <v>0</v>
      </c>
      <c r="R324" s="53" t="b">
        <f ca="1">IFERROR(__xludf.DUMMYFUNCTION("if($G324="""",false, if(isna(match(R$2, split($G324:$G383,"", "",False),0)),false,true))"),FALSE)</f>
        <v>0</v>
      </c>
      <c r="S324" s="53" t="b">
        <f ca="1">IFERROR(__xludf.DUMMYFUNCTION("if($G324="""",false, if(isna(match(S$2, split($G324:$G383,"", "",False),0)),false,true))"),FALSE)</f>
        <v>0</v>
      </c>
      <c r="T324" s="53" t="b">
        <f ca="1">IFERROR(__xludf.DUMMYFUNCTION("if($G324="""",false, if(isna(match(T$2, split($G324:$G383,"", "",False),0)),false,true))"),FALSE)</f>
        <v>0</v>
      </c>
      <c r="U324" s="53" t="b">
        <f ca="1">IFERROR(__xludf.DUMMYFUNCTION("if($G324="""",false, if(isna(match(U$2, split($G324:$G383,"", "",False),0)),false,true))"),FALSE)</f>
        <v>0</v>
      </c>
      <c r="V324" s="53" t="b">
        <f ca="1">IFERROR(__xludf.DUMMYFUNCTION("if($G324="""",false, if(isna(match(V$2, split($G324:$G383,"", "",False),0)),false,true))"),FALSE)</f>
        <v>0</v>
      </c>
      <c r="W324" s="57" t="b">
        <f ca="1">IFERROR(__xludf.DUMMYFUNCTION("if($G324="""",false, if(isna(match(W$2, split($G324:$G383,"", "",False),0)),false,true))"),FALSE)</f>
        <v>0</v>
      </c>
    </row>
    <row r="325" spans="1:23" ht="28">
      <c r="A325" s="47" t="s">
        <v>914</v>
      </c>
      <c r="B325" s="47" t="s">
        <v>63</v>
      </c>
      <c r="C325" s="49" t="s">
        <v>850</v>
      </c>
      <c r="D325" s="52" t="s">
        <v>866</v>
      </c>
      <c r="E325" s="49" t="s">
        <v>892</v>
      </c>
      <c r="F325" s="52" t="s">
        <v>915</v>
      </c>
      <c r="G325" s="59" t="s">
        <v>110</v>
      </c>
      <c r="H325" s="53" t="b">
        <f ca="1">IFERROR(__xludf.DUMMYFUNCTION("if($G325="""",false, if(isna(match(H$2, split($G325:$G383,"", "",False),0)),false,true))"),FALSE)</f>
        <v>0</v>
      </c>
      <c r="I325" s="53" t="b">
        <f ca="1">IFERROR(__xludf.DUMMYFUNCTION("if($G325="""",false, if(isna(match(I$2, split($G325:$G383,"", "",False),0)),false,true))"),FALSE)</f>
        <v>0</v>
      </c>
      <c r="J325" s="53" t="b">
        <f ca="1">IFERROR(__xludf.DUMMYFUNCTION("if($G325="""",false, if(isna(match(J$2, split($G325:$G383,"", "",False),0)),false,true))"),TRUE)</f>
        <v>1</v>
      </c>
      <c r="K325" s="53" t="b">
        <f ca="1">IFERROR(__xludf.DUMMYFUNCTION("if($G325="""",false, if(isna(match(K$2, split($G325:$G383,"", "",False),0)),false,true))"),FALSE)</f>
        <v>0</v>
      </c>
      <c r="L325" s="53" t="b">
        <f ca="1">IFERROR(__xludf.DUMMYFUNCTION("if($G325="""",false, if(isna(match(L$2, split($G325:$G383,"", "",False),0)),false,true))"),FALSE)</f>
        <v>0</v>
      </c>
      <c r="M325" s="53" t="b">
        <f ca="1">IFERROR(__xludf.DUMMYFUNCTION("if($G325="""",false, if(isna(match(M$2, split($G325:$G383,"", "",False),0)),false,true))"),FALSE)</f>
        <v>0</v>
      </c>
      <c r="N325" s="53" t="b">
        <f ca="1">IFERROR(__xludf.DUMMYFUNCTION("if($G325="""",false, if(isna(match(N$2, split($G325:$G383,"", "",False),0)),false,true))"),FALSE)</f>
        <v>0</v>
      </c>
      <c r="O325" s="53" t="b">
        <f ca="1">IFERROR(__xludf.DUMMYFUNCTION("if($G325="""",false, if(isna(match(O$2, split($G325:$G383,"", "",False),0)),false,true))"),FALSE)</f>
        <v>0</v>
      </c>
      <c r="P325" s="53" t="b">
        <f ca="1">IFERROR(__xludf.DUMMYFUNCTION("if($G325="""",false, if(isna(match(P$2, split($G325:$G383,"", "",False),0)),false,true))"),FALSE)</f>
        <v>0</v>
      </c>
      <c r="Q325" s="53" t="b">
        <f ca="1">IFERROR(__xludf.DUMMYFUNCTION("if($G325="""",false, if(isna(match(Q$2, split($G325:$G383,"", "",False),0)),false,true))"),FALSE)</f>
        <v>0</v>
      </c>
      <c r="R325" s="53" t="b">
        <f ca="1">IFERROR(__xludf.DUMMYFUNCTION("if($G325="""",false, if(isna(match(R$2, split($G325:$G383,"", "",False),0)),false,true))"),FALSE)</f>
        <v>0</v>
      </c>
      <c r="S325" s="53" t="b">
        <f ca="1">IFERROR(__xludf.DUMMYFUNCTION("if($G325="""",false, if(isna(match(S$2, split($G325:$G383,"", "",False),0)),false,true))"),FALSE)</f>
        <v>0</v>
      </c>
      <c r="T325" s="53" t="b">
        <f ca="1">IFERROR(__xludf.DUMMYFUNCTION("if($G325="""",false, if(isna(match(T$2, split($G325:$G383,"", "",False),0)),false,true))"),FALSE)</f>
        <v>0</v>
      </c>
      <c r="U325" s="53" t="b">
        <f ca="1">IFERROR(__xludf.DUMMYFUNCTION("if($G325="""",false, if(isna(match(U$2, split($G325:$G383,"", "",False),0)),false,true))"),FALSE)</f>
        <v>0</v>
      </c>
      <c r="V325" s="53" t="b">
        <f ca="1">IFERROR(__xludf.DUMMYFUNCTION("if($G325="""",false, if(isna(match(V$2, split($G325:$G383,"", "",False),0)),false,true))"),FALSE)</f>
        <v>0</v>
      </c>
      <c r="W325" s="57" t="b">
        <f ca="1">IFERROR(__xludf.DUMMYFUNCTION("if($G325="""",false, if(isna(match(W$2, split($G325:$G383,"", "",False),0)),false,true))"),FALSE)</f>
        <v>0</v>
      </c>
    </row>
    <row r="326" spans="1:23" ht="56">
      <c r="A326" s="47" t="s">
        <v>916</v>
      </c>
      <c r="B326" s="47" t="s">
        <v>63</v>
      </c>
      <c r="C326" s="49" t="s">
        <v>850</v>
      </c>
      <c r="D326" s="52" t="s">
        <v>866</v>
      </c>
      <c r="E326" s="49" t="s">
        <v>892</v>
      </c>
      <c r="F326" s="52" t="s">
        <v>917</v>
      </c>
      <c r="G326" s="59" t="s">
        <v>110</v>
      </c>
      <c r="H326" s="53" t="b">
        <f ca="1">IFERROR(__xludf.DUMMYFUNCTION("if($G326="""",false, if(isna(match(H$2, split($G326:$G383,"", "",False),0)),false,true))"),FALSE)</f>
        <v>0</v>
      </c>
      <c r="I326" s="53" t="b">
        <f ca="1">IFERROR(__xludf.DUMMYFUNCTION("if($G326="""",false, if(isna(match(I$2, split($G326:$G383,"", "",False),0)),false,true))"),FALSE)</f>
        <v>0</v>
      </c>
      <c r="J326" s="53" t="b">
        <f ca="1">IFERROR(__xludf.DUMMYFUNCTION("if($G326="""",false, if(isna(match(J$2, split($G326:$G383,"", "",False),0)),false,true))"),TRUE)</f>
        <v>1</v>
      </c>
      <c r="K326" s="53" t="b">
        <f ca="1">IFERROR(__xludf.DUMMYFUNCTION("if($G326="""",false, if(isna(match(K$2, split($G326:$G383,"", "",False),0)),false,true))"),FALSE)</f>
        <v>0</v>
      </c>
      <c r="L326" s="53" t="b">
        <f ca="1">IFERROR(__xludf.DUMMYFUNCTION("if($G326="""",false, if(isna(match(L$2, split($G326:$G383,"", "",False),0)),false,true))"),FALSE)</f>
        <v>0</v>
      </c>
      <c r="M326" s="53" t="b">
        <f ca="1">IFERROR(__xludf.DUMMYFUNCTION("if($G326="""",false, if(isna(match(M$2, split($G326:$G383,"", "",False),0)),false,true))"),FALSE)</f>
        <v>0</v>
      </c>
      <c r="N326" s="53" t="b">
        <f ca="1">IFERROR(__xludf.DUMMYFUNCTION("if($G326="""",false, if(isna(match(N$2, split($G326:$G383,"", "",False),0)),false,true))"),FALSE)</f>
        <v>0</v>
      </c>
      <c r="O326" s="53" t="b">
        <f ca="1">IFERROR(__xludf.DUMMYFUNCTION("if($G326="""",false, if(isna(match(O$2, split($G326:$G383,"", "",False),0)),false,true))"),FALSE)</f>
        <v>0</v>
      </c>
      <c r="P326" s="53" t="b">
        <f ca="1">IFERROR(__xludf.DUMMYFUNCTION("if($G326="""",false, if(isna(match(P$2, split($G326:$G383,"", "",False),0)),false,true))"),FALSE)</f>
        <v>0</v>
      </c>
      <c r="Q326" s="53" t="b">
        <f ca="1">IFERROR(__xludf.DUMMYFUNCTION("if($G326="""",false, if(isna(match(Q$2, split($G326:$G383,"", "",False),0)),false,true))"),FALSE)</f>
        <v>0</v>
      </c>
      <c r="R326" s="53" t="b">
        <f ca="1">IFERROR(__xludf.DUMMYFUNCTION("if($G326="""",false, if(isna(match(R$2, split($G326:$G383,"", "",False),0)),false,true))"),FALSE)</f>
        <v>0</v>
      </c>
      <c r="S326" s="53" t="b">
        <f ca="1">IFERROR(__xludf.DUMMYFUNCTION("if($G326="""",false, if(isna(match(S$2, split($G326:$G383,"", "",False),0)),false,true))"),FALSE)</f>
        <v>0</v>
      </c>
      <c r="T326" s="53" t="b">
        <f ca="1">IFERROR(__xludf.DUMMYFUNCTION("if($G326="""",false, if(isna(match(T$2, split($G326:$G383,"", "",False),0)),false,true))"),FALSE)</f>
        <v>0</v>
      </c>
      <c r="U326" s="53" t="b">
        <f ca="1">IFERROR(__xludf.DUMMYFUNCTION("if($G326="""",false, if(isna(match(U$2, split($G326:$G383,"", "",False),0)),false,true))"),FALSE)</f>
        <v>0</v>
      </c>
      <c r="V326" s="53" t="b">
        <f ca="1">IFERROR(__xludf.DUMMYFUNCTION("if($G326="""",false, if(isna(match(V$2, split($G326:$G383,"", "",False),0)),false,true))"),FALSE)</f>
        <v>0</v>
      </c>
      <c r="W326" s="57" t="b">
        <f ca="1">IFERROR(__xludf.DUMMYFUNCTION("if($G326="""",false, if(isna(match(W$2, split($G326:$G383,"", "",False),0)),false,true))"),FALSE)</f>
        <v>0</v>
      </c>
    </row>
    <row r="327" spans="1:23" ht="14">
      <c r="A327" s="47" t="s">
        <v>918</v>
      </c>
      <c r="B327" s="47" t="s">
        <v>63</v>
      </c>
      <c r="C327" s="49" t="s">
        <v>850</v>
      </c>
      <c r="D327" s="52" t="s">
        <v>866</v>
      </c>
      <c r="E327" s="49" t="s">
        <v>707</v>
      </c>
      <c r="F327" s="52" t="s">
        <v>919</v>
      </c>
      <c r="G327" s="59"/>
      <c r="H327" s="53" t="b">
        <f ca="1">IFERROR(__xludf.DUMMYFUNCTION("if($G327="""",false, if(isna(match(H$2, split($G327:$G383,"", "",False),0)),false,true))"),FALSE)</f>
        <v>0</v>
      </c>
      <c r="I327" s="53" t="b">
        <f ca="1">IFERROR(__xludf.DUMMYFUNCTION("if($G327="""",false, if(isna(match(I$2, split($G327:$G383,"", "",False),0)),false,true))"),FALSE)</f>
        <v>0</v>
      </c>
      <c r="J327" s="53" t="b">
        <f ca="1">IFERROR(__xludf.DUMMYFUNCTION("if($G327="""",false, if(isna(match(J$2, split($G327:$G383,"", "",False),0)),false,true))"),FALSE)</f>
        <v>0</v>
      </c>
      <c r="K327" s="53" t="b">
        <f ca="1">IFERROR(__xludf.DUMMYFUNCTION("if($G327="""",false, if(isna(match(K$2, split($G327:$G383,"", "",False),0)),false,true))"),FALSE)</f>
        <v>0</v>
      </c>
      <c r="L327" s="53" t="b">
        <f ca="1">IFERROR(__xludf.DUMMYFUNCTION("if($G327="""",false, if(isna(match(L$2, split($G327:$G383,"", "",False),0)),false,true))"),FALSE)</f>
        <v>0</v>
      </c>
      <c r="M327" s="53" t="b">
        <f ca="1">IFERROR(__xludf.DUMMYFUNCTION("if($G327="""",false, if(isna(match(M$2, split($G327:$G383,"", "",False),0)),false,true))"),FALSE)</f>
        <v>0</v>
      </c>
      <c r="N327" s="53" t="b">
        <f ca="1">IFERROR(__xludf.DUMMYFUNCTION("if($G327="""",false, if(isna(match(N$2, split($G327:$G383,"", "",False),0)),false,true))"),FALSE)</f>
        <v>0</v>
      </c>
      <c r="O327" s="53" t="b">
        <f ca="1">IFERROR(__xludf.DUMMYFUNCTION("if($G327="""",false, if(isna(match(O$2, split($G327:$G383,"", "",False),0)),false,true))"),FALSE)</f>
        <v>0</v>
      </c>
      <c r="P327" s="53" t="b">
        <f ca="1">IFERROR(__xludf.DUMMYFUNCTION("if($G327="""",false, if(isna(match(P$2, split($G327:$G383,"", "",False),0)),false,true))"),FALSE)</f>
        <v>0</v>
      </c>
      <c r="Q327" s="53" t="b">
        <f ca="1">IFERROR(__xludf.DUMMYFUNCTION("if($G327="""",false, if(isna(match(Q$2, split($G327:$G383,"", "",False),0)),false,true))"),FALSE)</f>
        <v>0</v>
      </c>
      <c r="R327" s="53" t="b">
        <f ca="1">IFERROR(__xludf.DUMMYFUNCTION("if($G327="""",false, if(isna(match(R$2, split($G327:$G383,"", "",False),0)),false,true))"),FALSE)</f>
        <v>0</v>
      </c>
      <c r="S327" s="53" t="b">
        <f ca="1">IFERROR(__xludf.DUMMYFUNCTION("if($G327="""",false, if(isna(match(S$2, split($G327:$G383,"", "",False),0)),false,true))"),FALSE)</f>
        <v>0</v>
      </c>
      <c r="T327" s="53" t="b">
        <f ca="1">IFERROR(__xludf.DUMMYFUNCTION("if($G327="""",false, if(isna(match(T$2, split($G327:$G383,"", "",False),0)),false,true))"),FALSE)</f>
        <v>0</v>
      </c>
      <c r="U327" s="53" t="b">
        <f ca="1">IFERROR(__xludf.DUMMYFUNCTION("if($G327="""",false, if(isna(match(U$2, split($G327:$G383,"", "",False),0)),false,true))"),FALSE)</f>
        <v>0</v>
      </c>
      <c r="V327" s="53" t="b">
        <f ca="1">IFERROR(__xludf.DUMMYFUNCTION("if($G327="""",false, if(isna(match(V$2, split($G327:$G383,"", "",False),0)),false,true))"),FALSE)</f>
        <v>0</v>
      </c>
      <c r="W327" s="57" t="b">
        <f ca="1">IFERROR(__xludf.DUMMYFUNCTION("if($G327="""",false, if(isna(match(W$2, split($G327:$G383,"", "",False),0)),false,true))"),FALSE)</f>
        <v>0</v>
      </c>
    </row>
    <row r="328" spans="1:23" ht="42">
      <c r="A328" s="47" t="s">
        <v>920</v>
      </c>
      <c r="B328" s="47" t="s">
        <v>63</v>
      </c>
      <c r="C328" s="49" t="s">
        <v>850</v>
      </c>
      <c r="D328" s="52" t="s">
        <v>866</v>
      </c>
      <c r="E328" s="49" t="s">
        <v>707</v>
      </c>
      <c r="F328" s="52" t="s">
        <v>921</v>
      </c>
      <c r="G328" s="59"/>
      <c r="H328" s="53" t="b">
        <f ca="1">IFERROR(__xludf.DUMMYFUNCTION("if($G328="""",false, if(isna(match(H$2, split($G328:$G383,"", "",False),0)),false,true))"),FALSE)</f>
        <v>0</v>
      </c>
      <c r="I328" s="53" t="b">
        <f ca="1">IFERROR(__xludf.DUMMYFUNCTION("if($G328="""",false, if(isna(match(I$2, split($G328:$G383,"", "",False),0)),false,true))"),FALSE)</f>
        <v>0</v>
      </c>
      <c r="J328" s="53" t="b">
        <f ca="1">IFERROR(__xludf.DUMMYFUNCTION("if($G328="""",false, if(isna(match(J$2, split($G328:$G383,"", "",False),0)),false,true))"),FALSE)</f>
        <v>0</v>
      </c>
      <c r="K328" s="53" t="b">
        <f ca="1">IFERROR(__xludf.DUMMYFUNCTION("if($G328="""",false, if(isna(match(K$2, split($G328:$G383,"", "",False),0)),false,true))"),FALSE)</f>
        <v>0</v>
      </c>
      <c r="L328" s="53" t="b">
        <f ca="1">IFERROR(__xludf.DUMMYFUNCTION("if($G328="""",false, if(isna(match(L$2, split($G328:$G383,"", "",False),0)),false,true))"),FALSE)</f>
        <v>0</v>
      </c>
      <c r="M328" s="53" t="b">
        <f ca="1">IFERROR(__xludf.DUMMYFUNCTION("if($G328="""",false, if(isna(match(M$2, split($G328:$G383,"", "",False),0)),false,true))"),FALSE)</f>
        <v>0</v>
      </c>
      <c r="N328" s="53" t="b">
        <f ca="1">IFERROR(__xludf.DUMMYFUNCTION("if($G328="""",false, if(isna(match(N$2, split($G328:$G383,"", "",False),0)),false,true))"),FALSE)</f>
        <v>0</v>
      </c>
      <c r="O328" s="53" t="b">
        <f ca="1">IFERROR(__xludf.DUMMYFUNCTION("if($G328="""",false, if(isna(match(O$2, split($G328:$G383,"", "",False),0)),false,true))"),FALSE)</f>
        <v>0</v>
      </c>
      <c r="P328" s="53" t="b">
        <f ca="1">IFERROR(__xludf.DUMMYFUNCTION("if($G328="""",false, if(isna(match(P$2, split($G328:$G383,"", "",False),0)),false,true))"),FALSE)</f>
        <v>0</v>
      </c>
      <c r="Q328" s="53" t="b">
        <f ca="1">IFERROR(__xludf.DUMMYFUNCTION("if($G328="""",false, if(isna(match(Q$2, split($G328:$G383,"", "",False),0)),false,true))"),FALSE)</f>
        <v>0</v>
      </c>
      <c r="R328" s="53" t="b">
        <f ca="1">IFERROR(__xludf.DUMMYFUNCTION("if($G328="""",false, if(isna(match(R$2, split($G328:$G383,"", "",False),0)),false,true))"),FALSE)</f>
        <v>0</v>
      </c>
      <c r="S328" s="53" t="b">
        <f ca="1">IFERROR(__xludf.DUMMYFUNCTION("if($G328="""",false, if(isna(match(S$2, split($G328:$G383,"", "",False),0)),false,true))"),FALSE)</f>
        <v>0</v>
      </c>
      <c r="T328" s="53" t="b">
        <f ca="1">IFERROR(__xludf.DUMMYFUNCTION("if($G328="""",false, if(isna(match(T$2, split($G328:$G383,"", "",False),0)),false,true))"),FALSE)</f>
        <v>0</v>
      </c>
      <c r="U328" s="53" t="b">
        <f ca="1">IFERROR(__xludf.DUMMYFUNCTION("if($G328="""",false, if(isna(match(U$2, split($G328:$G383,"", "",False),0)),false,true))"),FALSE)</f>
        <v>0</v>
      </c>
      <c r="V328" s="53" t="b">
        <f ca="1">IFERROR(__xludf.DUMMYFUNCTION("if($G328="""",false, if(isna(match(V$2, split($G328:$G383,"", "",False),0)),false,true))"),FALSE)</f>
        <v>0</v>
      </c>
      <c r="W328" s="57" t="b">
        <f ca="1">IFERROR(__xludf.DUMMYFUNCTION("if($G328="""",false, if(isna(match(W$2, split($G328:$G383,"", "",False),0)),false,true))"),FALSE)</f>
        <v>0</v>
      </c>
    </row>
    <row r="329" spans="1:23" ht="42">
      <c r="A329" s="47" t="s">
        <v>922</v>
      </c>
      <c r="B329" s="47" t="s">
        <v>63</v>
      </c>
      <c r="C329" s="49" t="s">
        <v>850</v>
      </c>
      <c r="D329" s="52" t="s">
        <v>923</v>
      </c>
      <c r="E329" s="49" t="s">
        <v>924</v>
      </c>
      <c r="F329" s="52" t="s">
        <v>925</v>
      </c>
      <c r="G329" s="59" t="s">
        <v>7</v>
      </c>
      <c r="H329" s="53" t="b">
        <f ca="1">IFERROR(__xludf.DUMMYFUNCTION("if($G329="""",false, if(isna(match(H$2, split($G329:$G383,"", "",False),0)),false,true))"),FALSE)</f>
        <v>0</v>
      </c>
      <c r="I329" s="53" t="b">
        <f ca="1">IFERROR(__xludf.DUMMYFUNCTION("if($G329="""",false, if(isna(match(I$2, split($G329:$G383,"", "",False),0)),false,true))"),FALSE)</f>
        <v>0</v>
      </c>
      <c r="J329" s="53" t="b">
        <f ca="1">IFERROR(__xludf.DUMMYFUNCTION("if($G329="""",false, if(isna(match(J$2, split($G329:$G383,"", "",False),0)),false,true))"),FALSE)</f>
        <v>0</v>
      </c>
      <c r="K329" s="53" t="b">
        <f ca="1">IFERROR(__xludf.DUMMYFUNCTION("if($G329="""",false, if(isna(match(K$2, split($G329:$G383,"", "",False),0)),false,true))"),FALSE)</f>
        <v>0</v>
      </c>
      <c r="L329" s="53" t="b">
        <f ca="1">IFERROR(__xludf.DUMMYFUNCTION("if($G329="""",false, if(isna(match(L$2, split($G329:$G383,"", "",False),0)),false,true))"),FALSE)</f>
        <v>0</v>
      </c>
      <c r="M329" s="53" t="b">
        <f ca="1">IFERROR(__xludf.DUMMYFUNCTION("if($G329="""",false, if(isna(match(M$2, split($G329:$G383,"", "",False),0)),false,true))"),FALSE)</f>
        <v>0</v>
      </c>
      <c r="N329" s="53" t="b">
        <f ca="1">IFERROR(__xludf.DUMMYFUNCTION("if($G329="""",false, if(isna(match(N$2, split($G329:$G383,"", "",False),0)),false,true))"),FALSE)</f>
        <v>0</v>
      </c>
      <c r="O329" s="53" t="b">
        <f ca="1">IFERROR(__xludf.DUMMYFUNCTION("if($G329="""",false, if(isna(match(O$2, split($G329:$G383,"", "",False),0)),false,true))"),FALSE)</f>
        <v>0</v>
      </c>
      <c r="P329" s="53" t="b">
        <f ca="1">IFERROR(__xludf.DUMMYFUNCTION("if($G329="""",false, if(isna(match(P$2, split($G329:$G383,"", "",False),0)),false,true))"),FALSE)</f>
        <v>0</v>
      </c>
      <c r="Q329" s="53" t="b">
        <f ca="1">IFERROR(__xludf.DUMMYFUNCTION("if($G329="""",false, if(isna(match(Q$2, split($G329:$G383,"", "",False),0)),false,true))"),FALSE)</f>
        <v>0</v>
      </c>
      <c r="R329" s="53" t="b">
        <f ca="1">IFERROR(__xludf.DUMMYFUNCTION("if($G329="""",false, if(isna(match(R$2, split($G329:$G383,"", "",False),0)),false,true))"),FALSE)</f>
        <v>0</v>
      </c>
      <c r="S329" s="53" t="b">
        <f ca="1">IFERROR(__xludf.DUMMYFUNCTION("if($G329="""",false, if(isna(match(S$2, split($G329:$G383,"", "",False),0)),false,true))"),FALSE)</f>
        <v>0</v>
      </c>
      <c r="T329" s="53" t="b">
        <f ca="1">IFERROR(__xludf.DUMMYFUNCTION("if($G329="""",false, if(isna(match(T$2, split($G329:$G383,"", "",False),0)),false,true))"),FALSE)</f>
        <v>0</v>
      </c>
      <c r="U329" s="53" t="b">
        <f ca="1">IFERROR(__xludf.DUMMYFUNCTION("if($G329="""",false, if(isna(match(U$2, split($G329:$G383,"", "",False),0)),false,true))"),FALSE)</f>
        <v>0</v>
      </c>
      <c r="V329" s="53" t="b">
        <f ca="1">IFERROR(__xludf.DUMMYFUNCTION("if($G329="""",false, if(isna(match(V$2, split($G329:$G383,"", "",False),0)),false,true))"),FALSE)</f>
        <v>0</v>
      </c>
      <c r="W329" s="57" t="b">
        <f ca="1">IFERROR(__xludf.DUMMYFUNCTION("if($G329="""",false, if(isna(match(W$2, split($G329:$G383,"", "",False),0)),false,true))"),FALSE)</f>
        <v>0</v>
      </c>
    </row>
    <row r="330" spans="1:23" ht="28">
      <c r="A330" s="47" t="s">
        <v>926</v>
      </c>
      <c r="B330" s="47" t="s">
        <v>63</v>
      </c>
      <c r="C330" s="49" t="s">
        <v>850</v>
      </c>
      <c r="D330" s="52" t="s">
        <v>923</v>
      </c>
      <c r="E330" s="49" t="s">
        <v>924</v>
      </c>
      <c r="F330" s="52" t="s">
        <v>927</v>
      </c>
      <c r="G330" s="59" t="s">
        <v>7</v>
      </c>
      <c r="H330" s="53" t="b">
        <f ca="1">IFERROR(__xludf.DUMMYFUNCTION("if($G330="""",false, if(isna(match(H$2, split($G330:$G383,"", "",False),0)),false,true))"),FALSE)</f>
        <v>0</v>
      </c>
      <c r="I330" s="53" t="b">
        <f ca="1">IFERROR(__xludf.DUMMYFUNCTION("if($G330="""",false, if(isna(match(I$2, split($G330:$G383,"", "",False),0)),false,true))"),FALSE)</f>
        <v>0</v>
      </c>
      <c r="J330" s="53" t="b">
        <f ca="1">IFERROR(__xludf.DUMMYFUNCTION("if($G330="""",false, if(isna(match(J$2, split($G330:$G383,"", "",False),0)),false,true))"),FALSE)</f>
        <v>0</v>
      </c>
      <c r="K330" s="53" t="b">
        <f ca="1">IFERROR(__xludf.DUMMYFUNCTION("if($G330="""",false, if(isna(match(K$2, split($G330:$G383,"", "",False),0)),false,true))"),FALSE)</f>
        <v>0</v>
      </c>
      <c r="L330" s="53" t="b">
        <f ca="1">IFERROR(__xludf.DUMMYFUNCTION("if($G330="""",false, if(isna(match(L$2, split($G330:$G383,"", "",False),0)),false,true))"),FALSE)</f>
        <v>0</v>
      </c>
      <c r="M330" s="53" t="b">
        <f ca="1">IFERROR(__xludf.DUMMYFUNCTION("if($G330="""",false, if(isna(match(M$2, split($G330:$G383,"", "",False),0)),false,true))"),FALSE)</f>
        <v>0</v>
      </c>
      <c r="N330" s="53" t="b">
        <f ca="1">IFERROR(__xludf.DUMMYFUNCTION("if($G330="""",false, if(isna(match(N$2, split($G330:$G383,"", "",False),0)),false,true))"),FALSE)</f>
        <v>0</v>
      </c>
      <c r="O330" s="53" t="b">
        <f ca="1">IFERROR(__xludf.DUMMYFUNCTION("if($G330="""",false, if(isna(match(O$2, split($G330:$G383,"", "",False),0)),false,true))"),FALSE)</f>
        <v>0</v>
      </c>
      <c r="P330" s="53" t="b">
        <f ca="1">IFERROR(__xludf.DUMMYFUNCTION("if($G330="""",false, if(isna(match(P$2, split($G330:$G383,"", "",False),0)),false,true))"),FALSE)</f>
        <v>0</v>
      </c>
      <c r="Q330" s="53" t="b">
        <f ca="1">IFERROR(__xludf.DUMMYFUNCTION("if($G330="""",false, if(isna(match(Q$2, split($G330:$G383,"", "",False),0)),false,true))"),FALSE)</f>
        <v>0</v>
      </c>
      <c r="R330" s="53" t="b">
        <f ca="1">IFERROR(__xludf.DUMMYFUNCTION("if($G330="""",false, if(isna(match(R$2, split($G330:$G383,"", "",False),0)),false,true))"),FALSE)</f>
        <v>0</v>
      </c>
      <c r="S330" s="53" t="b">
        <f ca="1">IFERROR(__xludf.DUMMYFUNCTION("if($G330="""",false, if(isna(match(S$2, split($G330:$G383,"", "",False),0)),false,true))"),FALSE)</f>
        <v>0</v>
      </c>
      <c r="T330" s="53" t="b">
        <f ca="1">IFERROR(__xludf.DUMMYFUNCTION("if($G330="""",false, if(isna(match(T$2, split($G330:$G383,"", "",False),0)),false,true))"),FALSE)</f>
        <v>0</v>
      </c>
      <c r="U330" s="53" t="b">
        <f ca="1">IFERROR(__xludf.DUMMYFUNCTION("if($G330="""",false, if(isna(match(U$2, split($G330:$G383,"", "",False),0)),false,true))"),FALSE)</f>
        <v>0</v>
      </c>
      <c r="V330" s="53" t="b">
        <f ca="1">IFERROR(__xludf.DUMMYFUNCTION("if($G330="""",false, if(isna(match(V$2, split($G330:$G383,"", "",False),0)),false,true))"),FALSE)</f>
        <v>0</v>
      </c>
      <c r="W330" s="57" t="b">
        <f ca="1">IFERROR(__xludf.DUMMYFUNCTION("if($G330="""",false, if(isna(match(W$2, split($G330:$G383,"", "",False),0)),false,true))"),FALSE)</f>
        <v>0</v>
      </c>
    </row>
    <row r="331" spans="1:23" ht="28">
      <c r="A331" s="47" t="s">
        <v>928</v>
      </c>
      <c r="B331" s="47" t="s">
        <v>63</v>
      </c>
      <c r="C331" s="49" t="s">
        <v>850</v>
      </c>
      <c r="D331" s="52" t="s">
        <v>923</v>
      </c>
      <c r="E331" s="49" t="s">
        <v>924</v>
      </c>
      <c r="F331" s="52" t="s">
        <v>929</v>
      </c>
      <c r="G331" s="59" t="s">
        <v>7</v>
      </c>
      <c r="H331" s="53" t="b">
        <f ca="1">IFERROR(__xludf.DUMMYFUNCTION("if($G331="""",false, if(isna(match(H$2, split($G331:$G383,"", "",False),0)),false,true))"),FALSE)</f>
        <v>0</v>
      </c>
      <c r="I331" s="53" t="b">
        <f ca="1">IFERROR(__xludf.DUMMYFUNCTION("if($G331="""",false, if(isna(match(I$2, split($G331:$G383,"", "",False),0)),false,true))"),FALSE)</f>
        <v>0</v>
      </c>
      <c r="J331" s="53" t="b">
        <f ca="1">IFERROR(__xludf.DUMMYFUNCTION("if($G331="""",false, if(isna(match(J$2, split($G331:$G383,"", "",False),0)),false,true))"),FALSE)</f>
        <v>0</v>
      </c>
      <c r="K331" s="53" t="b">
        <f ca="1">IFERROR(__xludf.DUMMYFUNCTION("if($G331="""",false, if(isna(match(K$2, split($G331:$G383,"", "",False),0)),false,true))"),FALSE)</f>
        <v>0</v>
      </c>
      <c r="L331" s="53" t="b">
        <f ca="1">IFERROR(__xludf.DUMMYFUNCTION("if($G331="""",false, if(isna(match(L$2, split($G331:$G383,"", "",False),0)),false,true))"),FALSE)</f>
        <v>0</v>
      </c>
      <c r="M331" s="53" t="b">
        <f ca="1">IFERROR(__xludf.DUMMYFUNCTION("if($G331="""",false, if(isna(match(M$2, split($G331:$G383,"", "",False),0)),false,true))"),FALSE)</f>
        <v>0</v>
      </c>
      <c r="N331" s="53" t="b">
        <f ca="1">IFERROR(__xludf.DUMMYFUNCTION("if($G331="""",false, if(isna(match(N$2, split($G331:$G383,"", "",False),0)),false,true))"),FALSE)</f>
        <v>0</v>
      </c>
      <c r="O331" s="53" t="b">
        <f ca="1">IFERROR(__xludf.DUMMYFUNCTION("if($G331="""",false, if(isna(match(O$2, split($G331:$G383,"", "",False),0)),false,true))"),FALSE)</f>
        <v>0</v>
      </c>
      <c r="P331" s="53" t="b">
        <f ca="1">IFERROR(__xludf.DUMMYFUNCTION("if($G331="""",false, if(isna(match(P$2, split($G331:$G383,"", "",False),0)),false,true))"),FALSE)</f>
        <v>0</v>
      </c>
      <c r="Q331" s="53" t="b">
        <f ca="1">IFERROR(__xludf.DUMMYFUNCTION("if($G331="""",false, if(isna(match(Q$2, split($G331:$G383,"", "",False),0)),false,true))"),FALSE)</f>
        <v>0</v>
      </c>
      <c r="R331" s="53" t="b">
        <f ca="1">IFERROR(__xludf.DUMMYFUNCTION("if($G331="""",false, if(isna(match(R$2, split($G331:$G383,"", "",False),0)),false,true))"),FALSE)</f>
        <v>0</v>
      </c>
      <c r="S331" s="53" t="b">
        <f ca="1">IFERROR(__xludf.DUMMYFUNCTION("if($G331="""",false, if(isna(match(S$2, split($G331:$G383,"", "",False),0)),false,true))"),FALSE)</f>
        <v>0</v>
      </c>
      <c r="T331" s="53" t="b">
        <f ca="1">IFERROR(__xludf.DUMMYFUNCTION("if($G331="""",false, if(isna(match(T$2, split($G331:$G383,"", "",False),0)),false,true))"),FALSE)</f>
        <v>0</v>
      </c>
      <c r="U331" s="53" t="b">
        <f ca="1">IFERROR(__xludf.DUMMYFUNCTION("if($G331="""",false, if(isna(match(U$2, split($G331:$G383,"", "",False),0)),false,true))"),FALSE)</f>
        <v>0</v>
      </c>
      <c r="V331" s="53" t="b">
        <f ca="1">IFERROR(__xludf.DUMMYFUNCTION("if($G331="""",false, if(isna(match(V$2, split($G331:$G383,"", "",False),0)),false,true))"),FALSE)</f>
        <v>0</v>
      </c>
      <c r="W331" s="57" t="b">
        <f ca="1">IFERROR(__xludf.DUMMYFUNCTION("if($G331="""",false, if(isna(match(W$2, split($G331:$G383,"", "",False),0)),false,true))"),FALSE)</f>
        <v>0</v>
      </c>
    </row>
    <row r="332" spans="1:23" ht="98">
      <c r="A332" s="47" t="s">
        <v>930</v>
      </c>
      <c r="B332" s="47" t="s">
        <v>63</v>
      </c>
      <c r="C332" s="49" t="s">
        <v>850</v>
      </c>
      <c r="D332" s="52" t="s">
        <v>923</v>
      </c>
      <c r="E332" s="49" t="s">
        <v>924</v>
      </c>
      <c r="F332" s="52" t="s">
        <v>931</v>
      </c>
      <c r="G332" s="59" t="s">
        <v>7</v>
      </c>
      <c r="H332" s="53" t="b">
        <f ca="1">IFERROR(__xludf.DUMMYFUNCTION("if($G332="""",false, if(isna(match(H$2, split($G332:$G383,"", "",False),0)),false,true))"),FALSE)</f>
        <v>0</v>
      </c>
      <c r="I332" s="53" t="b">
        <f ca="1">IFERROR(__xludf.DUMMYFUNCTION("if($G332="""",false, if(isna(match(I$2, split($G332:$G383,"", "",False),0)),false,true))"),FALSE)</f>
        <v>0</v>
      </c>
      <c r="J332" s="53" t="b">
        <f ca="1">IFERROR(__xludf.DUMMYFUNCTION("if($G332="""",false, if(isna(match(J$2, split($G332:$G383,"", "",False),0)),false,true))"),FALSE)</f>
        <v>0</v>
      </c>
      <c r="K332" s="53" t="b">
        <f ca="1">IFERROR(__xludf.DUMMYFUNCTION("if($G332="""",false, if(isna(match(K$2, split($G332:$G383,"", "",False),0)),false,true))"),FALSE)</f>
        <v>0</v>
      </c>
      <c r="L332" s="53" t="b">
        <f ca="1">IFERROR(__xludf.DUMMYFUNCTION("if($G332="""",false, if(isna(match(L$2, split($G332:$G383,"", "",False),0)),false,true))"),FALSE)</f>
        <v>0</v>
      </c>
      <c r="M332" s="53" t="b">
        <f ca="1">IFERROR(__xludf.DUMMYFUNCTION("if($G332="""",false, if(isna(match(M$2, split($G332:$G383,"", "",False),0)),false,true))"),FALSE)</f>
        <v>0</v>
      </c>
      <c r="N332" s="53" t="b">
        <f ca="1">IFERROR(__xludf.DUMMYFUNCTION("if($G332="""",false, if(isna(match(N$2, split($G332:$G383,"", "",False),0)),false,true))"),FALSE)</f>
        <v>0</v>
      </c>
      <c r="O332" s="53" t="b">
        <f ca="1">IFERROR(__xludf.DUMMYFUNCTION("if($G332="""",false, if(isna(match(O$2, split($G332:$G383,"", "",False),0)),false,true))"),FALSE)</f>
        <v>0</v>
      </c>
      <c r="P332" s="53" t="b">
        <f ca="1">IFERROR(__xludf.DUMMYFUNCTION("if($G332="""",false, if(isna(match(P$2, split($G332:$G383,"", "",False),0)),false,true))"),FALSE)</f>
        <v>0</v>
      </c>
      <c r="Q332" s="53" t="b">
        <f ca="1">IFERROR(__xludf.DUMMYFUNCTION("if($G332="""",false, if(isna(match(Q$2, split($G332:$G383,"", "",False),0)),false,true))"),FALSE)</f>
        <v>0</v>
      </c>
      <c r="R332" s="53" t="b">
        <f ca="1">IFERROR(__xludf.DUMMYFUNCTION("if($G332="""",false, if(isna(match(R$2, split($G332:$G383,"", "",False),0)),false,true))"),FALSE)</f>
        <v>0</v>
      </c>
      <c r="S332" s="53" t="b">
        <f ca="1">IFERROR(__xludf.DUMMYFUNCTION("if($G332="""",false, if(isna(match(S$2, split($G332:$G383,"", "",False),0)),false,true))"),FALSE)</f>
        <v>0</v>
      </c>
      <c r="T332" s="53" t="b">
        <f ca="1">IFERROR(__xludf.DUMMYFUNCTION("if($G332="""",false, if(isna(match(T$2, split($G332:$G383,"", "",False),0)),false,true))"),FALSE)</f>
        <v>0</v>
      </c>
      <c r="U332" s="53" t="b">
        <f ca="1">IFERROR(__xludf.DUMMYFUNCTION("if($G332="""",false, if(isna(match(U$2, split($G332:$G383,"", "",False),0)),false,true))"),FALSE)</f>
        <v>0</v>
      </c>
      <c r="V332" s="53" t="b">
        <f ca="1">IFERROR(__xludf.DUMMYFUNCTION("if($G332="""",false, if(isna(match(V$2, split($G332:$G383,"", "",False),0)),false,true))"),FALSE)</f>
        <v>0</v>
      </c>
      <c r="W332" s="57" t="b">
        <f ca="1">IFERROR(__xludf.DUMMYFUNCTION("if($G332="""",false, if(isna(match(W$2, split($G332:$G383,"", "",False),0)),false,true))"),FALSE)</f>
        <v>0</v>
      </c>
    </row>
    <row r="333" spans="1:23" ht="84">
      <c r="A333" s="47" t="s">
        <v>932</v>
      </c>
      <c r="B333" s="47" t="s">
        <v>63</v>
      </c>
      <c r="C333" s="49" t="s">
        <v>850</v>
      </c>
      <c r="D333" s="52" t="s">
        <v>923</v>
      </c>
      <c r="E333" s="49" t="s">
        <v>924</v>
      </c>
      <c r="F333" s="52" t="s">
        <v>933</v>
      </c>
      <c r="G333" s="59" t="s">
        <v>364</v>
      </c>
      <c r="H333" s="53" t="b">
        <f ca="1">IFERROR(__xludf.DUMMYFUNCTION("if($G333="""",false, if(isna(match(H$2, split($G333:$G383,"", "",False),0)),false,true))"),FALSE)</f>
        <v>0</v>
      </c>
      <c r="I333" s="53" t="b">
        <f ca="1">IFERROR(__xludf.DUMMYFUNCTION("if($G333="""",false, if(isna(match(I$2, split($G333:$G383,"", "",False),0)),false,true))"),TRUE)</f>
        <v>1</v>
      </c>
      <c r="J333" s="53" t="b">
        <f ca="1">IFERROR(__xludf.DUMMYFUNCTION("if($G333="""",false, if(isna(match(J$2, split($G333:$G383,"", "",False),0)),false,true))"),FALSE)</f>
        <v>0</v>
      </c>
      <c r="K333" s="53" t="b">
        <f ca="1">IFERROR(__xludf.DUMMYFUNCTION("if($G333="""",false, if(isna(match(K$2, split($G333:$G383,"", "",False),0)),false,true))"),FALSE)</f>
        <v>0</v>
      </c>
      <c r="L333" s="53" t="b">
        <f ca="1">IFERROR(__xludf.DUMMYFUNCTION("if($G333="""",false, if(isna(match(L$2, split($G333:$G383,"", "",False),0)),false,true))"),FALSE)</f>
        <v>0</v>
      </c>
      <c r="M333" s="53" t="b">
        <f ca="1">IFERROR(__xludf.DUMMYFUNCTION("if($G333="""",false, if(isna(match(M$2, split($G333:$G383,"", "",False),0)),false,true))"),FALSE)</f>
        <v>0</v>
      </c>
      <c r="N333" s="53" t="b">
        <f ca="1">IFERROR(__xludf.DUMMYFUNCTION("if($G333="""",false, if(isna(match(N$2, split($G333:$G383,"", "",False),0)),false,true))"),FALSE)</f>
        <v>0</v>
      </c>
      <c r="O333" s="53" t="b">
        <f ca="1">IFERROR(__xludf.DUMMYFUNCTION("if($G333="""",false, if(isna(match(O$2, split($G333:$G383,"", "",False),0)),false,true))"),FALSE)</f>
        <v>0</v>
      </c>
      <c r="P333" s="53" t="b">
        <f ca="1">IFERROR(__xludf.DUMMYFUNCTION("if($G333="""",false, if(isna(match(P$2, split($G333:$G383,"", "",False),0)),false,true))"),FALSE)</f>
        <v>0</v>
      </c>
      <c r="Q333" s="53" t="b">
        <f ca="1">IFERROR(__xludf.DUMMYFUNCTION("if($G333="""",false, if(isna(match(Q$2, split($G333:$G383,"", "",False),0)),false,true))"),FALSE)</f>
        <v>0</v>
      </c>
      <c r="R333" s="53" t="b">
        <f ca="1">IFERROR(__xludf.DUMMYFUNCTION("if($G333="""",false, if(isna(match(R$2, split($G333:$G383,"", "",False),0)),false,true))"),FALSE)</f>
        <v>0</v>
      </c>
      <c r="S333" s="53" t="b">
        <f ca="1">IFERROR(__xludf.DUMMYFUNCTION("if($G333="""",false, if(isna(match(S$2, split($G333:$G383,"", "",False),0)),false,true))"),FALSE)</f>
        <v>0</v>
      </c>
      <c r="T333" s="53" t="b">
        <f ca="1">IFERROR(__xludf.DUMMYFUNCTION("if($G333="""",false, if(isna(match(T$2, split($G333:$G383,"", "",False),0)),false,true))"),FALSE)</f>
        <v>0</v>
      </c>
      <c r="U333" s="53" t="b">
        <f ca="1">IFERROR(__xludf.DUMMYFUNCTION("if($G333="""",false, if(isna(match(U$2, split($G333:$G383,"", "",False),0)),false,true))"),FALSE)</f>
        <v>0</v>
      </c>
      <c r="V333" s="53" t="b">
        <f ca="1">IFERROR(__xludf.DUMMYFUNCTION("if($G333="""",false, if(isna(match(V$2, split($G333:$G383,"", "",False),0)),false,true))"),FALSE)</f>
        <v>0</v>
      </c>
      <c r="W333" s="57" t="b">
        <f ca="1">IFERROR(__xludf.DUMMYFUNCTION("if($G333="""",false, if(isna(match(W$2, split($G333:$G383,"", "",False),0)),false,true))"),FALSE)</f>
        <v>0</v>
      </c>
    </row>
    <row r="334" spans="1:23" ht="28">
      <c r="A334" s="47" t="s">
        <v>934</v>
      </c>
      <c r="B334" s="47" t="s">
        <v>63</v>
      </c>
      <c r="C334" s="49" t="s">
        <v>850</v>
      </c>
      <c r="D334" s="52" t="s">
        <v>923</v>
      </c>
      <c r="E334" s="49" t="s">
        <v>924</v>
      </c>
      <c r="F334" s="52" t="s">
        <v>935</v>
      </c>
      <c r="G334" s="59" t="s">
        <v>7</v>
      </c>
      <c r="H334" s="53" t="b">
        <f ca="1">IFERROR(__xludf.DUMMYFUNCTION("if($G334="""",false, if(isna(match(H$2, split($G334:$G383,"", "",False),0)),false,true))"),FALSE)</f>
        <v>0</v>
      </c>
      <c r="I334" s="53" t="b">
        <f ca="1">IFERROR(__xludf.DUMMYFUNCTION("if($G334="""",false, if(isna(match(I$2, split($G334:$G383,"", "",False),0)),false,true))"),FALSE)</f>
        <v>0</v>
      </c>
      <c r="J334" s="53" t="b">
        <f ca="1">IFERROR(__xludf.DUMMYFUNCTION("if($G334="""",false, if(isna(match(J$2, split($G334:$G383,"", "",False),0)),false,true))"),FALSE)</f>
        <v>0</v>
      </c>
      <c r="K334" s="53" t="b">
        <f ca="1">IFERROR(__xludf.DUMMYFUNCTION("if($G334="""",false, if(isna(match(K$2, split($G334:$G383,"", "",False),0)),false,true))"),FALSE)</f>
        <v>0</v>
      </c>
      <c r="L334" s="53" t="b">
        <f ca="1">IFERROR(__xludf.DUMMYFUNCTION("if($G334="""",false, if(isna(match(L$2, split($G334:$G383,"", "",False),0)),false,true))"),FALSE)</f>
        <v>0</v>
      </c>
      <c r="M334" s="53" t="b">
        <f ca="1">IFERROR(__xludf.DUMMYFUNCTION("if($G334="""",false, if(isna(match(M$2, split($G334:$G383,"", "",False),0)),false,true))"),FALSE)</f>
        <v>0</v>
      </c>
      <c r="N334" s="53" t="b">
        <f ca="1">IFERROR(__xludf.DUMMYFUNCTION("if($G334="""",false, if(isna(match(N$2, split($G334:$G383,"", "",False),0)),false,true))"),FALSE)</f>
        <v>0</v>
      </c>
      <c r="O334" s="53" t="b">
        <f ca="1">IFERROR(__xludf.DUMMYFUNCTION("if($G334="""",false, if(isna(match(O$2, split($G334:$G383,"", "",False),0)),false,true))"),FALSE)</f>
        <v>0</v>
      </c>
      <c r="P334" s="53" t="b">
        <f ca="1">IFERROR(__xludf.DUMMYFUNCTION("if($G334="""",false, if(isna(match(P$2, split($G334:$G383,"", "",False),0)),false,true))"),FALSE)</f>
        <v>0</v>
      </c>
      <c r="Q334" s="53" t="b">
        <f ca="1">IFERROR(__xludf.DUMMYFUNCTION("if($G334="""",false, if(isna(match(Q$2, split($G334:$G383,"", "",False),0)),false,true))"),FALSE)</f>
        <v>0</v>
      </c>
      <c r="R334" s="53" t="b">
        <f ca="1">IFERROR(__xludf.DUMMYFUNCTION("if($G334="""",false, if(isna(match(R$2, split($G334:$G383,"", "",False),0)),false,true))"),FALSE)</f>
        <v>0</v>
      </c>
      <c r="S334" s="53" t="b">
        <f ca="1">IFERROR(__xludf.DUMMYFUNCTION("if($G334="""",false, if(isna(match(S$2, split($G334:$G383,"", "",False),0)),false,true))"),FALSE)</f>
        <v>0</v>
      </c>
      <c r="T334" s="53" t="b">
        <f ca="1">IFERROR(__xludf.DUMMYFUNCTION("if($G334="""",false, if(isna(match(T$2, split($G334:$G383,"", "",False),0)),false,true))"),FALSE)</f>
        <v>0</v>
      </c>
      <c r="U334" s="53" t="b">
        <f ca="1">IFERROR(__xludf.DUMMYFUNCTION("if($G334="""",false, if(isna(match(U$2, split($G334:$G383,"", "",False),0)),false,true))"),FALSE)</f>
        <v>0</v>
      </c>
      <c r="V334" s="53" t="b">
        <f ca="1">IFERROR(__xludf.DUMMYFUNCTION("if($G334="""",false, if(isna(match(V$2, split($G334:$G383,"", "",False),0)),false,true))"),FALSE)</f>
        <v>0</v>
      </c>
      <c r="W334" s="57" t="b">
        <f ca="1">IFERROR(__xludf.DUMMYFUNCTION("if($G334="""",false, if(isna(match(W$2, split($G334:$G383,"", "",False),0)),false,true))"),FALSE)</f>
        <v>0</v>
      </c>
    </row>
    <row r="335" spans="1:23" ht="84">
      <c r="A335" s="47" t="s">
        <v>936</v>
      </c>
      <c r="B335" s="47" t="s">
        <v>63</v>
      </c>
      <c r="C335" s="49" t="s">
        <v>850</v>
      </c>
      <c r="D335" s="52" t="s">
        <v>923</v>
      </c>
      <c r="E335" s="49" t="s">
        <v>937</v>
      </c>
      <c r="F335" s="52" t="s">
        <v>938</v>
      </c>
      <c r="G335" s="59" t="s">
        <v>7</v>
      </c>
      <c r="H335" s="53" t="b">
        <f ca="1">IFERROR(__xludf.DUMMYFUNCTION("if($G335="""",false, if(isna(match(H$2, split($G335:$G383,"", "",False),0)),false,true))"),FALSE)</f>
        <v>0</v>
      </c>
      <c r="I335" s="53" t="b">
        <f ca="1">IFERROR(__xludf.DUMMYFUNCTION("if($G335="""",false, if(isna(match(I$2, split($G335:$G383,"", "",False),0)),false,true))"),FALSE)</f>
        <v>0</v>
      </c>
      <c r="J335" s="53" t="b">
        <f ca="1">IFERROR(__xludf.DUMMYFUNCTION("if($G335="""",false, if(isna(match(J$2, split($G335:$G383,"", "",False),0)),false,true))"),FALSE)</f>
        <v>0</v>
      </c>
      <c r="K335" s="53" t="b">
        <f ca="1">IFERROR(__xludf.DUMMYFUNCTION("if($G335="""",false, if(isna(match(K$2, split($G335:$G383,"", "",False),0)),false,true))"),FALSE)</f>
        <v>0</v>
      </c>
      <c r="L335" s="53" t="b">
        <f ca="1">IFERROR(__xludf.DUMMYFUNCTION("if($G335="""",false, if(isna(match(L$2, split($G335:$G383,"", "",False),0)),false,true))"),FALSE)</f>
        <v>0</v>
      </c>
      <c r="M335" s="53" t="b">
        <f ca="1">IFERROR(__xludf.DUMMYFUNCTION("if($G335="""",false, if(isna(match(M$2, split($G335:$G383,"", "",False),0)),false,true))"),FALSE)</f>
        <v>0</v>
      </c>
      <c r="N335" s="53" t="b">
        <f ca="1">IFERROR(__xludf.DUMMYFUNCTION("if($G335="""",false, if(isna(match(N$2, split($G335:$G383,"", "",False),0)),false,true))"),FALSE)</f>
        <v>0</v>
      </c>
      <c r="O335" s="53" t="b">
        <f ca="1">IFERROR(__xludf.DUMMYFUNCTION("if($G335="""",false, if(isna(match(O$2, split($G335:$G383,"", "",False),0)),false,true))"),FALSE)</f>
        <v>0</v>
      </c>
      <c r="P335" s="53" t="b">
        <f ca="1">IFERROR(__xludf.DUMMYFUNCTION("if($G335="""",false, if(isna(match(P$2, split($G335:$G383,"", "",False),0)),false,true))"),FALSE)</f>
        <v>0</v>
      </c>
      <c r="Q335" s="53" t="b">
        <f ca="1">IFERROR(__xludf.DUMMYFUNCTION("if($G335="""",false, if(isna(match(Q$2, split($G335:$G383,"", "",False),0)),false,true))"),FALSE)</f>
        <v>0</v>
      </c>
      <c r="R335" s="53" t="b">
        <f ca="1">IFERROR(__xludf.DUMMYFUNCTION("if($G335="""",false, if(isna(match(R$2, split($G335:$G383,"", "",False),0)),false,true))"),FALSE)</f>
        <v>0</v>
      </c>
      <c r="S335" s="53" t="b">
        <f ca="1">IFERROR(__xludf.DUMMYFUNCTION("if($G335="""",false, if(isna(match(S$2, split($G335:$G383,"", "",False),0)),false,true))"),FALSE)</f>
        <v>0</v>
      </c>
      <c r="T335" s="53" t="b">
        <f ca="1">IFERROR(__xludf.DUMMYFUNCTION("if($G335="""",false, if(isna(match(T$2, split($G335:$G383,"", "",False),0)),false,true))"),FALSE)</f>
        <v>0</v>
      </c>
      <c r="U335" s="53" t="b">
        <f ca="1">IFERROR(__xludf.DUMMYFUNCTION("if($G335="""",false, if(isna(match(U$2, split($G335:$G383,"", "",False),0)),false,true))"),FALSE)</f>
        <v>0</v>
      </c>
      <c r="V335" s="53" t="b">
        <f ca="1">IFERROR(__xludf.DUMMYFUNCTION("if($G335="""",false, if(isna(match(V$2, split($G335:$G383,"", "",False),0)),false,true))"),FALSE)</f>
        <v>0</v>
      </c>
      <c r="W335" s="57" t="b">
        <f ca="1">IFERROR(__xludf.DUMMYFUNCTION("if($G335="""",false, if(isna(match(W$2, split($G335:$G383,"", "",False),0)),false,true))"),FALSE)</f>
        <v>0</v>
      </c>
    </row>
    <row r="336" spans="1:23" ht="28">
      <c r="A336" s="47" t="s">
        <v>939</v>
      </c>
      <c r="B336" s="47" t="s">
        <v>63</v>
      </c>
      <c r="C336" s="49" t="s">
        <v>850</v>
      </c>
      <c r="D336" s="52" t="s">
        <v>923</v>
      </c>
      <c r="E336" s="49" t="s">
        <v>937</v>
      </c>
      <c r="F336" s="52" t="s">
        <v>940</v>
      </c>
      <c r="G336" s="59" t="s">
        <v>389</v>
      </c>
      <c r="H336" s="53" t="b">
        <f ca="1">IFERROR(__xludf.DUMMYFUNCTION("if($G336="""",false, if(isna(match(H$2, split($G336:$G383,"", "",False),0)),false,true))"),FALSE)</f>
        <v>0</v>
      </c>
      <c r="I336" s="53" t="b">
        <f ca="1">IFERROR(__xludf.DUMMYFUNCTION("if($G336="""",false, if(isna(match(I$2, split($G336:$G383,"", "",False),0)),false,true))"),FALSE)</f>
        <v>0</v>
      </c>
      <c r="J336" s="53" t="b">
        <f ca="1">IFERROR(__xludf.DUMMYFUNCTION("if($G336="""",false, if(isna(match(J$2, split($G336:$G383,"", "",False),0)),false,true))"),FALSE)</f>
        <v>0</v>
      </c>
      <c r="K336" s="53" t="b">
        <f ca="1">IFERROR(__xludf.DUMMYFUNCTION("if($G336="""",false, if(isna(match(K$2, split($G336:$G383,"", "",False),0)),false,true))"),FALSE)</f>
        <v>0</v>
      </c>
      <c r="L336" s="53" t="b">
        <f ca="1">IFERROR(__xludf.DUMMYFUNCTION("if($G336="""",false, if(isna(match(L$2, split($G336:$G383,"", "",False),0)),false,true))"),FALSE)</f>
        <v>0</v>
      </c>
      <c r="M336" s="53" t="b">
        <f ca="1">IFERROR(__xludf.DUMMYFUNCTION("if($G336="""",false, if(isna(match(M$2, split($G336:$G383,"", "",False),0)),false,true))"),FALSE)</f>
        <v>0</v>
      </c>
      <c r="N336" s="53" t="b">
        <f ca="1">IFERROR(__xludf.DUMMYFUNCTION("if($G336="""",false, if(isna(match(N$2, split($G336:$G383,"", "",False),0)),false,true))"),FALSE)</f>
        <v>0</v>
      </c>
      <c r="O336" s="53" t="b">
        <f ca="1">IFERROR(__xludf.DUMMYFUNCTION("if($G336="""",false, if(isna(match(O$2, split($G336:$G383,"", "",False),0)),false,true))"),FALSE)</f>
        <v>0</v>
      </c>
      <c r="P336" s="53" t="b">
        <f ca="1">IFERROR(__xludf.DUMMYFUNCTION("if($G336="""",false, if(isna(match(P$2, split($G336:$G383,"", "",False),0)),false,true))"),FALSE)</f>
        <v>0</v>
      </c>
      <c r="Q336" s="53" t="b">
        <f ca="1">IFERROR(__xludf.DUMMYFUNCTION("if($G336="""",false, if(isna(match(Q$2, split($G336:$G383,"", "",False),0)),false,true))"),FALSE)</f>
        <v>0</v>
      </c>
      <c r="R336" s="53" t="b">
        <f ca="1">IFERROR(__xludf.DUMMYFUNCTION("if($G336="""",false, if(isna(match(R$2, split($G336:$G383,"", "",False),0)),false,true))"),FALSE)</f>
        <v>0</v>
      </c>
      <c r="S336" s="53" t="b">
        <f ca="1">IFERROR(__xludf.DUMMYFUNCTION("if($G336="""",false, if(isna(match(S$2, split($G336:$G383,"", "",False),0)),false,true))"),FALSE)</f>
        <v>0</v>
      </c>
      <c r="T336" s="53" t="b">
        <f ca="1">IFERROR(__xludf.DUMMYFUNCTION("if($G336="""",false, if(isna(match(T$2, split($G336:$G383,"", "",False),0)),false,true))"),FALSE)</f>
        <v>0</v>
      </c>
      <c r="U336" s="53" t="b">
        <f ca="1">IFERROR(__xludf.DUMMYFUNCTION("if($G336="""",false, if(isna(match(U$2, split($G336:$G383,"", "",False),0)),false,true))"),FALSE)</f>
        <v>0</v>
      </c>
      <c r="V336" s="53" t="b">
        <f ca="1">IFERROR(__xludf.DUMMYFUNCTION("if($G336="""",false, if(isna(match(V$2, split($G336:$G383,"", "",False),0)),false,true))"),FALSE)</f>
        <v>0</v>
      </c>
      <c r="W336" s="57" t="b">
        <f ca="1">IFERROR(__xludf.DUMMYFUNCTION("if($G336="""",false, if(isna(match(W$2, split($G336:$G383,"", "",False),0)),false,true))"),FALSE)</f>
        <v>0</v>
      </c>
    </row>
    <row r="337" spans="1:23" ht="28">
      <c r="A337" s="47" t="s">
        <v>941</v>
      </c>
      <c r="B337" s="47" t="s">
        <v>63</v>
      </c>
      <c r="C337" s="49" t="s">
        <v>850</v>
      </c>
      <c r="D337" s="52" t="s">
        <v>923</v>
      </c>
      <c r="E337" s="49" t="s">
        <v>937</v>
      </c>
      <c r="F337" s="52" t="s">
        <v>942</v>
      </c>
      <c r="G337" s="59" t="s">
        <v>7</v>
      </c>
      <c r="H337" s="53" t="b">
        <f ca="1">IFERROR(__xludf.DUMMYFUNCTION("if($G337="""",false, if(isna(match(H$2, split($G337:$G383,"", "",False),0)),false,true))"),FALSE)</f>
        <v>0</v>
      </c>
      <c r="I337" s="53" t="b">
        <f ca="1">IFERROR(__xludf.DUMMYFUNCTION("if($G337="""",false, if(isna(match(I$2, split($G337:$G383,"", "",False),0)),false,true))"),FALSE)</f>
        <v>0</v>
      </c>
      <c r="J337" s="53" t="b">
        <f ca="1">IFERROR(__xludf.DUMMYFUNCTION("if($G337="""",false, if(isna(match(J$2, split($G337:$G383,"", "",False),0)),false,true))"),FALSE)</f>
        <v>0</v>
      </c>
      <c r="K337" s="53" t="b">
        <f ca="1">IFERROR(__xludf.DUMMYFUNCTION("if($G337="""",false, if(isna(match(K$2, split($G337:$G383,"", "",False),0)),false,true))"),FALSE)</f>
        <v>0</v>
      </c>
      <c r="L337" s="53" t="b">
        <f ca="1">IFERROR(__xludf.DUMMYFUNCTION("if($G337="""",false, if(isna(match(L$2, split($G337:$G383,"", "",False),0)),false,true))"),FALSE)</f>
        <v>0</v>
      </c>
      <c r="M337" s="53" t="b">
        <f ca="1">IFERROR(__xludf.DUMMYFUNCTION("if($G337="""",false, if(isna(match(M$2, split($G337:$G383,"", "",False),0)),false,true))"),FALSE)</f>
        <v>0</v>
      </c>
      <c r="N337" s="53" t="b">
        <f ca="1">IFERROR(__xludf.DUMMYFUNCTION("if($G337="""",false, if(isna(match(N$2, split($G337:$G383,"", "",False),0)),false,true))"),FALSE)</f>
        <v>0</v>
      </c>
      <c r="O337" s="53" t="b">
        <f ca="1">IFERROR(__xludf.DUMMYFUNCTION("if($G337="""",false, if(isna(match(O$2, split($G337:$G383,"", "",False),0)),false,true))"),FALSE)</f>
        <v>0</v>
      </c>
      <c r="P337" s="53" t="b">
        <f ca="1">IFERROR(__xludf.DUMMYFUNCTION("if($G337="""",false, if(isna(match(P$2, split($G337:$G383,"", "",False),0)),false,true))"),FALSE)</f>
        <v>0</v>
      </c>
      <c r="Q337" s="53" t="b">
        <f ca="1">IFERROR(__xludf.DUMMYFUNCTION("if($G337="""",false, if(isna(match(Q$2, split($G337:$G383,"", "",False),0)),false,true))"),FALSE)</f>
        <v>0</v>
      </c>
      <c r="R337" s="53" t="b">
        <f ca="1">IFERROR(__xludf.DUMMYFUNCTION("if($G337="""",false, if(isna(match(R$2, split($G337:$G383,"", "",False),0)),false,true))"),FALSE)</f>
        <v>0</v>
      </c>
      <c r="S337" s="53" t="b">
        <f ca="1">IFERROR(__xludf.DUMMYFUNCTION("if($G337="""",false, if(isna(match(S$2, split($G337:$G383,"", "",False),0)),false,true))"),FALSE)</f>
        <v>0</v>
      </c>
      <c r="T337" s="53" t="b">
        <f ca="1">IFERROR(__xludf.DUMMYFUNCTION("if($G337="""",false, if(isna(match(T$2, split($G337:$G383,"", "",False),0)),false,true))"),FALSE)</f>
        <v>0</v>
      </c>
      <c r="U337" s="53" t="b">
        <f ca="1">IFERROR(__xludf.DUMMYFUNCTION("if($G337="""",false, if(isna(match(U$2, split($G337:$G383,"", "",False),0)),false,true))"),FALSE)</f>
        <v>0</v>
      </c>
      <c r="V337" s="53" t="b">
        <f ca="1">IFERROR(__xludf.DUMMYFUNCTION("if($G337="""",false, if(isna(match(V$2, split($G337:$G383,"", "",False),0)),false,true))"),FALSE)</f>
        <v>0</v>
      </c>
      <c r="W337" s="57" t="b">
        <f ca="1">IFERROR(__xludf.DUMMYFUNCTION("if($G337="""",false, if(isna(match(W$2, split($G337:$G383,"", "",False),0)),false,true))"),FALSE)</f>
        <v>0</v>
      </c>
    </row>
    <row r="338" spans="1:23" ht="28">
      <c r="A338" s="47" t="s">
        <v>943</v>
      </c>
      <c r="B338" s="47" t="s">
        <v>63</v>
      </c>
      <c r="C338" s="49" t="s">
        <v>850</v>
      </c>
      <c r="D338" s="52" t="s">
        <v>923</v>
      </c>
      <c r="E338" s="49" t="s">
        <v>937</v>
      </c>
      <c r="F338" s="52" t="s">
        <v>944</v>
      </c>
      <c r="G338" s="59" t="s">
        <v>7</v>
      </c>
      <c r="H338" s="53" t="b">
        <f ca="1">IFERROR(__xludf.DUMMYFUNCTION("if($G338="""",false, if(isna(match(H$2, split($G338:$G383,"", "",False),0)),false,true))"),FALSE)</f>
        <v>0</v>
      </c>
      <c r="I338" s="53" t="b">
        <f ca="1">IFERROR(__xludf.DUMMYFUNCTION("if($G338="""",false, if(isna(match(I$2, split($G338:$G383,"", "",False),0)),false,true))"),FALSE)</f>
        <v>0</v>
      </c>
      <c r="J338" s="53" t="b">
        <f ca="1">IFERROR(__xludf.DUMMYFUNCTION("if($G338="""",false, if(isna(match(J$2, split($G338:$G383,"", "",False),0)),false,true))"),FALSE)</f>
        <v>0</v>
      </c>
      <c r="K338" s="53" t="b">
        <f ca="1">IFERROR(__xludf.DUMMYFUNCTION("if($G338="""",false, if(isna(match(K$2, split($G338:$G383,"", "",False),0)),false,true))"),FALSE)</f>
        <v>0</v>
      </c>
      <c r="L338" s="53" t="b">
        <f ca="1">IFERROR(__xludf.DUMMYFUNCTION("if($G338="""",false, if(isna(match(L$2, split($G338:$G383,"", "",False),0)),false,true))"),FALSE)</f>
        <v>0</v>
      </c>
      <c r="M338" s="53" t="b">
        <f ca="1">IFERROR(__xludf.DUMMYFUNCTION("if($G338="""",false, if(isna(match(M$2, split($G338:$G383,"", "",False),0)),false,true))"),FALSE)</f>
        <v>0</v>
      </c>
      <c r="N338" s="53" t="b">
        <f ca="1">IFERROR(__xludf.DUMMYFUNCTION("if($G338="""",false, if(isna(match(N$2, split($G338:$G383,"", "",False),0)),false,true))"),FALSE)</f>
        <v>0</v>
      </c>
      <c r="O338" s="53" t="b">
        <f ca="1">IFERROR(__xludf.DUMMYFUNCTION("if($G338="""",false, if(isna(match(O$2, split($G338:$G383,"", "",False),0)),false,true))"),FALSE)</f>
        <v>0</v>
      </c>
      <c r="P338" s="53" t="b">
        <f ca="1">IFERROR(__xludf.DUMMYFUNCTION("if($G338="""",false, if(isna(match(P$2, split($G338:$G383,"", "",False),0)),false,true))"),FALSE)</f>
        <v>0</v>
      </c>
      <c r="Q338" s="53" t="b">
        <f ca="1">IFERROR(__xludf.DUMMYFUNCTION("if($G338="""",false, if(isna(match(Q$2, split($G338:$G383,"", "",False),0)),false,true))"),FALSE)</f>
        <v>0</v>
      </c>
      <c r="R338" s="53" t="b">
        <f ca="1">IFERROR(__xludf.DUMMYFUNCTION("if($G338="""",false, if(isna(match(R$2, split($G338:$G383,"", "",False),0)),false,true))"),FALSE)</f>
        <v>0</v>
      </c>
      <c r="S338" s="53" t="b">
        <f ca="1">IFERROR(__xludf.DUMMYFUNCTION("if($G338="""",false, if(isna(match(S$2, split($G338:$G383,"", "",False),0)),false,true))"),FALSE)</f>
        <v>0</v>
      </c>
      <c r="T338" s="53" t="b">
        <f ca="1">IFERROR(__xludf.DUMMYFUNCTION("if($G338="""",false, if(isna(match(T$2, split($G338:$G383,"", "",False),0)),false,true))"),FALSE)</f>
        <v>0</v>
      </c>
      <c r="U338" s="53" t="b">
        <f ca="1">IFERROR(__xludf.DUMMYFUNCTION("if($G338="""",false, if(isna(match(U$2, split($G338:$G383,"", "",False),0)),false,true))"),FALSE)</f>
        <v>0</v>
      </c>
      <c r="V338" s="53" t="b">
        <f ca="1">IFERROR(__xludf.DUMMYFUNCTION("if($G338="""",false, if(isna(match(V$2, split($G338:$G383,"", "",False),0)),false,true))"),FALSE)</f>
        <v>0</v>
      </c>
      <c r="W338" s="57" t="b">
        <f ca="1">IFERROR(__xludf.DUMMYFUNCTION("if($G338="""",false, if(isna(match(W$2, split($G338:$G383,"", "",False),0)),false,true))"),FALSE)</f>
        <v>0</v>
      </c>
    </row>
    <row r="339" spans="1:23" ht="140">
      <c r="A339" s="47" t="s">
        <v>945</v>
      </c>
      <c r="B339" s="47" t="s">
        <v>63</v>
      </c>
      <c r="C339" s="49" t="s">
        <v>850</v>
      </c>
      <c r="D339" s="52" t="s">
        <v>923</v>
      </c>
      <c r="E339" s="49" t="s">
        <v>937</v>
      </c>
      <c r="F339" s="52" t="s">
        <v>946</v>
      </c>
      <c r="G339" s="59" t="s">
        <v>7</v>
      </c>
      <c r="H339" s="53" t="b">
        <f ca="1">IFERROR(__xludf.DUMMYFUNCTION("if($G339="""",false, if(isna(match(H$2, split($G339:$G383,"", "",False),0)),false,true))"),FALSE)</f>
        <v>0</v>
      </c>
      <c r="I339" s="53" t="b">
        <f ca="1">IFERROR(__xludf.DUMMYFUNCTION("if($G339="""",false, if(isna(match(I$2, split($G339:$G383,"", "",False),0)),false,true))"),FALSE)</f>
        <v>0</v>
      </c>
      <c r="J339" s="53" t="b">
        <f ca="1">IFERROR(__xludf.DUMMYFUNCTION("if($G339="""",false, if(isna(match(J$2, split($G339:$G383,"", "",False),0)),false,true))"),FALSE)</f>
        <v>0</v>
      </c>
      <c r="K339" s="53" t="b">
        <f ca="1">IFERROR(__xludf.DUMMYFUNCTION("if($G339="""",false, if(isna(match(K$2, split($G339:$G383,"", "",False),0)),false,true))"),FALSE)</f>
        <v>0</v>
      </c>
      <c r="L339" s="53" t="b">
        <f ca="1">IFERROR(__xludf.DUMMYFUNCTION("if($G339="""",false, if(isna(match(L$2, split($G339:$G383,"", "",False),0)),false,true))"),FALSE)</f>
        <v>0</v>
      </c>
      <c r="M339" s="53" t="b">
        <f ca="1">IFERROR(__xludf.DUMMYFUNCTION("if($G339="""",false, if(isna(match(M$2, split($G339:$G383,"", "",False),0)),false,true))"),FALSE)</f>
        <v>0</v>
      </c>
      <c r="N339" s="53" t="b">
        <f ca="1">IFERROR(__xludf.DUMMYFUNCTION("if($G339="""",false, if(isna(match(N$2, split($G339:$G383,"", "",False),0)),false,true))"),FALSE)</f>
        <v>0</v>
      </c>
      <c r="O339" s="53" t="b">
        <f ca="1">IFERROR(__xludf.DUMMYFUNCTION("if($G339="""",false, if(isna(match(O$2, split($G339:$G383,"", "",False),0)),false,true))"),FALSE)</f>
        <v>0</v>
      </c>
      <c r="P339" s="53" t="b">
        <f ca="1">IFERROR(__xludf.DUMMYFUNCTION("if($G339="""",false, if(isna(match(P$2, split($G339:$G383,"", "",False),0)),false,true))"),FALSE)</f>
        <v>0</v>
      </c>
      <c r="Q339" s="53" t="b">
        <f ca="1">IFERROR(__xludf.DUMMYFUNCTION("if($G339="""",false, if(isna(match(Q$2, split($G339:$G383,"", "",False),0)),false,true))"),FALSE)</f>
        <v>0</v>
      </c>
      <c r="R339" s="53" t="b">
        <f ca="1">IFERROR(__xludf.DUMMYFUNCTION("if($G339="""",false, if(isna(match(R$2, split($G339:$G383,"", "",False),0)),false,true))"),FALSE)</f>
        <v>0</v>
      </c>
      <c r="S339" s="53" t="b">
        <f ca="1">IFERROR(__xludf.DUMMYFUNCTION("if($G339="""",false, if(isna(match(S$2, split($G339:$G383,"", "",False),0)),false,true))"),FALSE)</f>
        <v>0</v>
      </c>
      <c r="T339" s="53" t="b">
        <f ca="1">IFERROR(__xludf.DUMMYFUNCTION("if($G339="""",false, if(isna(match(T$2, split($G339:$G383,"", "",False),0)),false,true))"),FALSE)</f>
        <v>0</v>
      </c>
      <c r="U339" s="53" t="b">
        <f ca="1">IFERROR(__xludf.DUMMYFUNCTION("if($G339="""",false, if(isna(match(U$2, split($G339:$G383,"", "",False),0)),false,true))"),FALSE)</f>
        <v>0</v>
      </c>
      <c r="V339" s="53" t="b">
        <f ca="1">IFERROR(__xludf.DUMMYFUNCTION("if($G339="""",false, if(isna(match(V$2, split($G339:$G383,"", "",False),0)),false,true))"),FALSE)</f>
        <v>0</v>
      </c>
      <c r="W339" s="57" t="b">
        <f ca="1">IFERROR(__xludf.DUMMYFUNCTION("if($G339="""",false, if(isna(match(W$2, split($G339:$G383,"", "",False),0)),false,true))"),FALSE)</f>
        <v>0</v>
      </c>
    </row>
    <row r="340" spans="1:23" ht="28">
      <c r="A340" s="47" t="s">
        <v>947</v>
      </c>
      <c r="B340" s="47" t="s">
        <v>63</v>
      </c>
      <c r="C340" s="49" t="s">
        <v>850</v>
      </c>
      <c r="D340" s="52" t="s">
        <v>923</v>
      </c>
      <c r="E340" s="49" t="s">
        <v>937</v>
      </c>
      <c r="F340" s="52" t="s">
        <v>948</v>
      </c>
      <c r="G340" s="59" t="s">
        <v>7</v>
      </c>
      <c r="H340" s="53" t="b">
        <f ca="1">IFERROR(__xludf.DUMMYFUNCTION("if($G340="""",false, if(isna(match(H$2, split($G340:$G383,"", "",False),0)),false,true))"),FALSE)</f>
        <v>0</v>
      </c>
      <c r="I340" s="53" t="b">
        <f ca="1">IFERROR(__xludf.DUMMYFUNCTION("if($G340="""",false, if(isna(match(I$2, split($G340:$G383,"", "",False),0)),false,true))"),FALSE)</f>
        <v>0</v>
      </c>
      <c r="J340" s="53" t="b">
        <f ca="1">IFERROR(__xludf.DUMMYFUNCTION("if($G340="""",false, if(isna(match(J$2, split($G340:$G383,"", "",False),0)),false,true))"),FALSE)</f>
        <v>0</v>
      </c>
      <c r="K340" s="53" t="b">
        <f ca="1">IFERROR(__xludf.DUMMYFUNCTION("if($G340="""",false, if(isna(match(K$2, split($G340:$G383,"", "",False),0)),false,true))"),FALSE)</f>
        <v>0</v>
      </c>
      <c r="L340" s="53" t="b">
        <f ca="1">IFERROR(__xludf.DUMMYFUNCTION("if($G340="""",false, if(isna(match(L$2, split($G340:$G383,"", "",False),0)),false,true))"),FALSE)</f>
        <v>0</v>
      </c>
      <c r="M340" s="53" t="b">
        <f ca="1">IFERROR(__xludf.DUMMYFUNCTION("if($G340="""",false, if(isna(match(M$2, split($G340:$G383,"", "",False),0)),false,true))"),FALSE)</f>
        <v>0</v>
      </c>
      <c r="N340" s="53" t="b">
        <f ca="1">IFERROR(__xludf.DUMMYFUNCTION("if($G340="""",false, if(isna(match(N$2, split($G340:$G383,"", "",False),0)),false,true))"),FALSE)</f>
        <v>0</v>
      </c>
      <c r="O340" s="53" t="b">
        <f ca="1">IFERROR(__xludf.DUMMYFUNCTION("if($G340="""",false, if(isna(match(O$2, split($G340:$G383,"", "",False),0)),false,true))"),FALSE)</f>
        <v>0</v>
      </c>
      <c r="P340" s="53" t="b">
        <f ca="1">IFERROR(__xludf.DUMMYFUNCTION("if($G340="""",false, if(isna(match(P$2, split($G340:$G383,"", "",False),0)),false,true))"),FALSE)</f>
        <v>0</v>
      </c>
      <c r="Q340" s="53" t="b">
        <f ca="1">IFERROR(__xludf.DUMMYFUNCTION("if($G340="""",false, if(isna(match(Q$2, split($G340:$G383,"", "",False),0)),false,true))"),FALSE)</f>
        <v>0</v>
      </c>
      <c r="R340" s="53" t="b">
        <f ca="1">IFERROR(__xludf.DUMMYFUNCTION("if($G340="""",false, if(isna(match(R$2, split($G340:$G383,"", "",False),0)),false,true))"),FALSE)</f>
        <v>0</v>
      </c>
      <c r="S340" s="53" t="b">
        <f ca="1">IFERROR(__xludf.DUMMYFUNCTION("if($G340="""",false, if(isna(match(S$2, split($G340:$G383,"", "",False),0)),false,true))"),FALSE)</f>
        <v>0</v>
      </c>
      <c r="T340" s="53" t="b">
        <f ca="1">IFERROR(__xludf.DUMMYFUNCTION("if($G340="""",false, if(isna(match(T$2, split($G340:$G383,"", "",False),0)),false,true))"),FALSE)</f>
        <v>0</v>
      </c>
      <c r="U340" s="53" t="b">
        <f ca="1">IFERROR(__xludf.DUMMYFUNCTION("if($G340="""",false, if(isna(match(U$2, split($G340:$G383,"", "",False),0)),false,true))"),FALSE)</f>
        <v>0</v>
      </c>
      <c r="V340" s="53" t="b">
        <f ca="1">IFERROR(__xludf.DUMMYFUNCTION("if($G340="""",false, if(isna(match(V$2, split($G340:$G383,"", "",False),0)),false,true))"),FALSE)</f>
        <v>0</v>
      </c>
      <c r="W340" s="57" t="b">
        <f ca="1">IFERROR(__xludf.DUMMYFUNCTION("if($G340="""",false, if(isna(match(W$2, split($G340:$G383,"", "",False),0)),false,true))"),FALSE)</f>
        <v>0</v>
      </c>
    </row>
    <row r="341" spans="1:23" ht="112">
      <c r="A341" s="47" t="s">
        <v>949</v>
      </c>
      <c r="B341" s="47" t="s">
        <v>63</v>
      </c>
      <c r="C341" s="49" t="s">
        <v>850</v>
      </c>
      <c r="D341" s="52" t="s">
        <v>950</v>
      </c>
      <c r="E341" s="49" t="s">
        <v>951</v>
      </c>
      <c r="F341" s="52" t="s">
        <v>952</v>
      </c>
      <c r="G341" s="59" t="s">
        <v>389</v>
      </c>
      <c r="H341" s="53" t="b">
        <f ca="1">IFERROR(__xludf.DUMMYFUNCTION("if($G341="""",false, if(isna(match(H$2, split($G341:$G383,"", "",False),0)),false,true))"),FALSE)</f>
        <v>0</v>
      </c>
      <c r="I341" s="53" t="b">
        <f ca="1">IFERROR(__xludf.DUMMYFUNCTION("if($G341="""",false, if(isna(match(I$2, split($G341:$G383,"", "",False),0)),false,true))"),FALSE)</f>
        <v>0</v>
      </c>
      <c r="J341" s="53" t="b">
        <f ca="1">IFERROR(__xludf.DUMMYFUNCTION("if($G341="""",false, if(isna(match(J$2, split($G341:$G383,"", "",False),0)),false,true))"),FALSE)</f>
        <v>0</v>
      </c>
      <c r="K341" s="53" t="b">
        <f ca="1">IFERROR(__xludf.DUMMYFUNCTION("if($G341="""",false, if(isna(match(K$2, split($G341:$G383,"", "",False),0)),false,true))"),FALSE)</f>
        <v>0</v>
      </c>
      <c r="L341" s="53" t="b">
        <f ca="1">IFERROR(__xludf.DUMMYFUNCTION("if($G341="""",false, if(isna(match(L$2, split($G341:$G383,"", "",False),0)),false,true))"),FALSE)</f>
        <v>0</v>
      </c>
      <c r="M341" s="53" t="b">
        <f ca="1">IFERROR(__xludf.DUMMYFUNCTION("if($G341="""",false, if(isna(match(M$2, split($G341:$G383,"", "",False),0)),false,true))"),FALSE)</f>
        <v>0</v>
      </c>
      <c r="N341" s="53" t="b">
        <f ca="1">IFERROR(__xludf.DUMMYFUNCTION("if($G341="""",false, if(isna(match(N$2, split($G341:$G383,"", "",False),0)),false,true))"),FALSE)</f>
        <v>0</v>
      </c>
      <c r="O341" s="53" t="b">
        <f ca="1">IFERROR(__xludf.DUMMYFUNCTION("if($G341="""",false, if(isna(match(O$2, split($G341:$G383,"", "",False),0)),false,true))"),FALSE)</f>
        <v>0</v>
      </c>
      <c r="P341" s="53" t="b">
        <f ca="1">IFERROR(__xludf.DUMMYFUNCTION("if($G341="""",false, if(isna(match(P$2, split($G341:$G383,"", "",False),0)),false,true))"),FALSE)</f>
        <v>0</v>
      </c>
      <c r="Q341" s="53" t="b">
        <f ca="1">IFERROR(__xludf.DUMMYFUNCTION("if($G341="""",false, if(isna(match(Q$2, split($G341:$G383,"", "",False),0)),false,true))"),FALSE)</f>
        <v>0</v>
      </c>
      <c r="R341" s="53" t="b">
        <f ca="1">IFERROR(__xludf.DUMMYFUNCTION("if($G341="""",false, if(isna(match(R$2, split($G341:$G383,"", "",False),0)),false,true))"),FALSE)</f>
        <v>0</v>
      </c>
      <c r="S341" s="53" t="b">
        <f ca="1">IFERROR(__xludf.DUMMYFUNCTION("if($G341="""",false, if(isna(match(S$2, split($G341:$G383,"", "",False),0)),false,true))"),FALSE)</f>
        <v>0</v>
      </c>
      <c r="T341" s="53" t="b">
        <f ca="1">IFERROR(__xludf.DUMMYFUNCTION("if($G341="""",false, if(isna(match(T$2, split($G341:$G383,"", "",False),0)),false,true))"),FALSE)</f>
        <v>0</v>
      </c>
      <c r="U341" s="53" t="b">
        <f ca="1">IFERROR(__xludf.DUMMYFUNCTION("if($G341="""",false, if(isna(match(U$2, split($G341:$G383,"", "",False),0)),false,true))"),FALSE)</f>
        <v>0</v>
      </c>
      <c r="V341" s="53" t="b">
        <f ca="1">IFERROR(__xludf.DUMMYFUNCTION("if($G341="""",false, if(isna(match(V$2, split($G341:$G383,"", "",False),0)),false,true))"),FALSE)</f>
        <v>0</v>
      </c>
      <c r="W341" s="57" t="b">
        <f ca="1">IFERROR(__xludf.DUMMYFUNCTION("if($G341="""",false, if(isna(match(W$2, split($G341:$G383,"", "",False),0)),false,true))"),FALSE)</f>
        <v>0</v>
      </c>
    </row>
    <row r="342" spans="1:23" ht="112">
      <c r="A342" s="47" t="s">
        <v>953</v>
      </c>
      <c r="B342" s="47" t="s">
        <v>63</v>
      </c>
      <c r="C342" s="49" t="s">
        <v>850</v>
      </c>
      <c r="D342" s="52" t="s">
        <v>950</v>
      </c>
      <c r="E342" s="49" t="s">
        <v>954</v>
      </c>
      <c r="F342" s="52" t="s">
        <v>955</v>
      </c>
      <c r="G342" s="59" t="s">
        <v>377</v>
      </c>
      <c r="H342" s="53" t="b">
        <f ca="1">IFERROR(__xludf.DUMMYFUNCTION("if($G342="""",false, if(isna(match(H$2, split($G342:$G383,"", "",False),0)),false,true))"),FALSE)</f>
        <v>0</v>
      </c>
      <c r="I342" s="53" t="b">
        <f ca="1">IFERROR(__xludf.DUMMYFUNCTION("if($G342="""",false, if(isna(match(I$2, split($G342:$G383,"", "",False),0)),false,true))"),FALSE)</f>
        <v>0</v>
      </c>
      <c r="J342" s="53" t="b">
        <f ca="1">IFERROR(__xludf.DUMMYFUNCTION("if($G342="""",false, if(isna(match(J$2, split($G342:$G383,"", "",False),0)),false,true))"),FALSE)</f>
        <v>0</v>
      </c>
      <c r="K342" s="53" t="b">
        <f ca="1">IFERROR(__xludf.DUMMYFUNCTION("if($G342="""",false, if(isna(match(K$2, split($G342:$G383,"", "",False),0)),false,true))"),FALSE)</f>
        <v>0</v>
      </c>
      <c r="L342" s="53" t="b">
        <f ca="1">IFERROR(__xludf.DUMMYFUNCTION("if($G342="""",false, if(isna(match(L$2, split($G342:$G383,"", "",False),0)),false,true))"),FALSE)</f>
        <v>0</v>
      </c>
      <c r="M342" s="53" t="b">
        <f ca="1">IFERROR(__xludf.DUMMYFUNCTION("if($G342="""",false, if(isna(match(M$2, split($G342:$G383,"", "",False),0)),false,true))"),FALSE)</f>
        <v>0</v>
      </c>
      <c r="N342" s="53" t="b">
        <f ca="1">IFERROR(__xludf.DUMMYFUNCTION("if($G342="""",false, if(isna(match(N$2, split($G342:$G383,"", "",False),0)),false,true))"),FALSE)</f>
        <v>0</v>
      </c>
      <c r="O342" s="53" t="b">
        <f ca="1">IFERROR(__xludf.DUMMYFUNCTION("if($G342="""",false, if(isna(match(O$2, split($G342:$G383,"", "",False),0)),false,true))"),FALSE)</f>
        <v>0</v>
      </c>
      <c r="P342" s="53" t="b">
        <f ca="1">IFERROR(__xludf.DUMMYFUNCTION("if($G342="""",false, if(isna(match(P$2, split($G342:$G383,"", "",False),0)),false,true))"),FALSE)</f>
        <v>0</v>
      </c>
      <c r="Q342" s="53" t="b">
        <f ca="1">IFERROR(__xludf.DUMMYFUNCTION("if($G342="""",false, if(isna(match(Q$2, split($G342:$G383,"", "",False),0)),false,true))"),FALSE)</f>
        <v>0</v>
      </c>
      <c r="R342" s="53" t="b">
        <f ca="1">IFERROR(__xludf.DUMMYFUNCTION("if($G342="""",false, if(isna(match(R$2, split($G342:$G383,"", "",False),0)),false,true))"),FALSE)</f>
        <v>0</v>
      </c>
      <c r="S342" s="53" t="b">
        <f ca="1">IFERROR(__xludf.DUMMYFUNCTION("if($G342="""",false, if(isna(match(S$2, split($G342:$G383,"", "",False),0)),false,true))"),FALSE)</f>
        <v>0</v>
      </c>
      <c r="T342" s="53" t="b">
        <f ca="1">IFERROR(__xludf.DUMMYFUNCTION("if($G342="""",false, if(isna(match(T$2, split($G342:$G383,"", "",False),0)),false,true))"),FALSE)</f>
        <v>0</v>
      </c>
      <c r="U342" s="53" t="b">
        <f ca="1">IFERROR(__xludf.DUMMYFUNCTION("if($G342="""",false, if(isna(match(U$2, split($G342:$G383,"", "",False),0)),false,true))"),FALSE)</f>
        <v>0</v>
      </c>
      <c r="V342" s="53" t="b">
        <f ca="1">IFERROR(__xludf.DUMMYFUNCTION("if($G342="""",false, if(isna(match(V$2, split($G342:$G383,"", "",False),0)),false,true))"),FALSE)</f>
        <v>0</v>
      </c>
      <c r="W342" s="57" t="b">
        <f ca="1">IFERROR(__xludf.DUMMYFUNCTION("if($G342="""",false, if(isna(match(W$2, split($G342:$G383,"", "",False),0)),false,true))"),FALSE)</f>
        <v>0</v>
      </c>
    </row>
    <row r="343" spans="1:23" ht="98">
      <c r="A343" s="47" t="s">
        <v>956</v>
      </c>
      <c r="B343" s="47" t="s">
        <v>63</v>
      </c>
      <c r="C343" s="49" t="s">
        <v>850</v>
      </c>
      <c r="D343" s="52" t="s">
        <v>957</v>
      </c>
      <c r="E343" s="49" t="s">
        <v>76</v>
      </c>
      <c r="F343" s="52" t="s">
        <v>958</v>
      </c>
      <c r="G343" s="59" t="s">
        <v>109</v>
      </c>
      <c r="H343" s="53" t="b">
        <f ca="1">IFERROR(__xludf.DUMMYFUNCTION("if($G343="""",false, if(isna(match(H$2, split($G343:$G383,"", "",False),0)),false,true))"),FALSE)</f>
        <v>0</v>
      </c>
      <c r="I343" s="53" t="b">
        <f ca="1">IFERROR(__xludf.DUMMYFUNCTION("if($G343="""",false, if(isna(match(I$2, split($G343:$G383,"", "",False),0)),false,true))"),TRUE)</f>
        <v>1</v>
      </c>
      <c r="J343" s="53" t="b">
        <f ca="1">IFERROR(__xludf.DUMMYFUNCTION("if($G343="""",false, if(isna(match(J$2, split($G343:$G383,"", "",False),0)),false,true))"),FALSE)</f>
        <v>0</v>
      </c>
      <c r="K343" s="53" t="b">
        <f ca="1">IFERROR(__xludf.DUMMYFUNCTION("if($G343="""",false, if(isna(match(K$2, split($G343:$G383,"", "",False),0)),false,true))"),FALSE)</f>
        <v>0</v>
      </c>
      <c r="L343" s="53" t="b">
        <f ca="1">IFERROR(__xludf.DUMMYFUNCTION("if($G343="""",false, if(isna(match(L$2, split($G343:$G383,"", "",False),0)),false,true))"),FALSE)</f>
        <v>0</v>
      </c>
      <c r="M343" s="53" t="b">
        <f ca="1">IFERROR(__xludf.DUMMYFUNCTION("if($G343="""",false, if(isna(match(M$2, split($G343:$G383,"", "",False),0)),false,true))"),FALSE)</f>
        <v>0</v>
      </c>
      <c r="N343" s="53" t="b">
        <f ca="1">IFERROR(__xludf.DUMMYFUNCTION("if($G343="""",false, if(isna(match(N$2, split($G343:$G383,"", "",False),0)),false,true))"),FALSE)</f>
        <v>0</v>
      </c>
      <c r="O343" s="53" t="b">
        <f ca="1">IFERROR(__xludf.DUMMYFUNCTION("if($G343="""",false, if(isna(match(O$2, split($G343:$G383,"", "",False),0)),false,true))"),FALSE)</f>
        <v>0</v>
      </c>
      <c r="P343" s="53" t="b">
        <f ca="1">IFERROR(__xludf.DUMMYFUNCTION("if($G343="""",false, if(isna(match(P$2, split($G343:$G383,"", "",False),0)),false,true))"),FALSE)</f>
        <v>0</v>
      </c>
      <c r="Q343" s="53" t="b">
        <f ca="1">IFERROR(__xludf.DUMMYFUNCTION("if($G343="""",false, if(isna(match(Q$2, split($G343:$G383,"", "",False),0)),false,true))"),FALSE)</f>
        <v>0</v>
      </c>
      <c r="R343" s="53" t="b">
        <f ca="1">IFERROR(__xludf.DUMMYFUNCTION("if($G343="""",false, if(isna(match(R$2, split($G343:$G383,"", "",False),0)),false,true))"),FALSE)</f>
        <v>0</v>
      </c>
      <c r="S343" s="53" t="b">
        <f ca="1">IFERROR(__xludf.DUMMYFUNCTION("if($G343="""",false, if(isna(match(S$2, split($G343:$G383,"", "",False),0)),false,true))"),FALSE)</f>
        <v>0</v>
      </c>
      <c r="T343" s="53" t="b">
        <f ca="1">IFERROR(__xludf.DUMMYFUNCTION("if($G343="""",false, if(isna(match(T$2, split($G343:$G383,"", "",False),0)),false,true))"),FALSE)</f>
        <v>0</v>
      </c>
      <c r="U343" s="53" t="b">
        <f ca="1">IFERROR(__xludf.DUMMYFUNCTION("if($G343="""",false, if(isna(match(U$2, split($G343:$G383,"", "",False),0)),false,true))"),FALSE)</f>
        <v>0</v>
      </c>
      <c r="V343" s="53" t="b">
        <f ca="1">IFERROR(__xludf.DUMMYFUNCTION("if($G343="""",false, if(isna(match(V$2, split($G343:$G383,"", "",False),0)),false,true))"),FALSE)</f>
        <v>0</v>
      </c>
      <c r="W343" s="57" t="b">
        <f ca="1">IFERROR(__xludf.DUMMYFUNCTION("if($G343="""",false, if(isna(match(W$2, split($G343:$G383,"", "",False),0)),false,true))"),FALSE)</f>
        <v>0</v>
      </c>
    </row>
    <row r="344" spans="1:23" ht="28">
      <c r="A344" s="47" t="s">
        <v>959</v>
      </c>
      <c r="B344" s="47" t="s">
        <v>63</v>
      </c>
      <c r="C344" s="49" t="s">
        <v>850</v>
      </c>
      <c r="D344" s="52" t="s">
        <v>957</v>
      </c>
      <c r="E344" s="49" t="s">
        <v>726</v>
      </c>
      <c r="F344" s="52" t="s">
        <v>960</v>
      </c>
      <c r="G344" s="59" t="s">
        <v>109</v>
      </c>
      <c r="H344" s="53" t="b">
        <f ca="1">IFERROR(__xludf.DUMMYFUNCTION("if($G344="""",false, if(isna(match(H$2, split($G344:$G383,"", "",False),0)),false,true))"),FALSE)</f>
        <v>0</v>
      </c>
      <c r="I344" s="53" t="b">
        <f ca="1">IFERROR(__xludf.DUMMYFUNCTION("if($G344="""",false, if(isna(match(I$2, split($G344:$G383,"", "",False),0)),false,true))"),TRUE)</f>
        <v>1</v>
      </c>
      <c r="J344" s="53" t="b">
        <f ca="1">IFERROR(__xludf.DUMMYFUNCTION("if($G344="""",false, if(isna(match(J$2, split($G344:$G383,"", "",False),0)),false,true))"),FALSE)</f>
        <v>0</v>
      </c>
      <c r="K344" s="53" t="b">
        <f ca="1">IFERROR(__xludf.DUMMYFUNCTION("if($G344="""",false, if(isna(match(K$2, split($G344:$G383,"", "",False),0)),false,true))"),FALSE)</f>
        <v>0</v>
      </c>
      <c r="L344" s="53" t="b">
        <f ca="1">IFERROR(__xludf.DUMMYFUNCTION("if($G344="""",false, if(isna(match(L$2, split($G344:$G383,"", "",False),0)),false,true))"),FALSE)</f>
        <v>0</v>
      </c>
      <c r="M344" s="53" t="b">
        <f ca="1">IFERROR(__xludf.DUMMYFUNCTION("if($G344="""",false, if(isna(match(M$2, split($G344:$G383,"", "",False),0)),false,true))"),FALSE)</f>
        <v>0</v>
      </c>
      <c r="N344" s="53" t="b">
        <f ca="1">IFERROR(__xludf.DUMMYFUNCTION("if($G344="""",false, if(isna(match(N$2, split($G344:$G383,"", "",False),0)),false,true))"),FALSE)</f>
        <v>0</v>
      </c>
      <c r="O344" s="53" t="b">
        <f ca="1">IFERROR(__xludf.DUMMYFUNCTION("if($G344="""",false, if(isna(match(O$2, split($G344:$G383,"", "",False),0)),false,true))"),FALSE)</f>
        <v>0</v>
      </c>
      <c r="P344" s="53" t="b">
        <f ca="1">IFERROR(__xludf.DUMMYFUNCTION("if($G344="""",false, if(isna(match(P$2, split($G344:$G383,"", "",False),0)),false,true))"),FALSE)</f>
        <v>0</v>
      </c>
      <c r="Q344" s="53" t="b">
        <f ca="1">IFERROR(__xludf.DUMMYFUNCTION("if($G344="""",false, if(isna(match(Q$2, split($G344:$G383,"", "",False),0)),false,true))"),FALSE)</f>
        <v>0</v>
      </c>
      <c r="R344" s="53" t="b">
        <f ca="1">IFERROR(__xludf.DUMMYFUNCTION("if($G344="""",false, if(isna(match(R$2, split($G344:$G383,"", "",False),0)),false,true))"),FALSE)</f>
        <v>0</v>
      </c>
      <c r="S344" s="53" t="b">
        <f ca="1">IFERROR(__xludf.DUMMYFUNCTION("if($G344="""",false, if(isna(match(S$2, split($G344:$G383,"", "",False),0)),false,true))"),FALSE)</f>
        <v>0</v>
      </c>
      <c r="T344" s="53" t="b">
        <f ca="1">IFERROR(__xludf.DUMMYFUNCTION("if($G344="""",false, if(isna(match(T$2, split($G344:$G383,"", "",False),0)),false,true))"),FALSE)</f>
        <v>0</v>
      </c>
      <c r="U344" s="53" t="b">
        <f ca="1">IFERROR(__xludf.DUMMYFUNCTION("if($G344="""",false, if(isna(match(U$2, split($G344:$G383,"", "",False),0)),false,true))"),FALSE)</f>
        <v>0</v>
      </c>
      <c r="V344" s="53" t="b">
        <f ca="1">IFERROR(__xludf.DUMMYFUNCTION("if($G344="""",false, if(isna(match(V$2, split($G344:$G383,"", "",False),0)),false,true))"),FALSE)</f>
        <v>0</v>
      </c>
      <c r="W344" s="57" t="b">
        <f ca="1">IFERROR(__xludf.DUMMYFUNCTION("if($G344="""",false, if(isna(match(W$2, split($G344:$G383,"", "",False),0)),false,true))"),FALSE)</f>
        <v>0</v>
      </c>
    </row>
    <row r="345" spans="1:23" ht="56">
      <c r="A345" s="47" t="s">
        <v>961</v>
      </c>
      <c r="B345" s="47" t="s">
        <v>63</v>
      </c>
      <c r="C345" s="49" t="s">
        <v>850</v>
      </c>
      <c r="D345" s="52" t="s">
        <v>957</v>
      </c>
      <c r="E345" s="49" t="s">
        <v>726</v>
      </c>
      <c r="F345" s="52" t="s">
        <v>962</v>
      </c>
      <c r="G345" s="59" t="s">
        <v>328</v>
      </c>
      <c r="H345" s="53" t="b">
        <f ca="1">IFERROR(__xludf.DUMMYFUNCTION("if($G345="""",false, if(isna(match(H$2, split($G345:$G383,"", "",False),0)),false,true))"),FALSE)</f>
        <v>0</v>
      </c>
      <c r="I345" s="53" t="b">
        <f ca="1">IFERROR(__xludf.DUMMYFUNCTION("if($G345="""",false, if(isna(match(I$2, split($G345:$G383,"", "",False),0)),false,true))"),FALSE)</f>
        <v>0</v>
      </c>
      <c r="J345" s="53" t="b">
        <f ca="1">IFERROR(__xludf.DUMMYFUNCTION("if($G345="""",false, if(isna(match(J$2, split($G345:$G383,"", "",False),0)),false,true))"),FALSE)</f>
        <v>0</v>
      </c>
      <c r="K345" s="53" t="b">
        <f ca="1">IFERROR(__xludf.DUMMYFUNCTION("if($G345="""",false, if(isna(match(K$2, split($G345:$G383,"", "",False),0)),false,true))"),FALSE)</f>
        <v>0</v>
      </c>
      <c r="L345" s="53" t="b">
        <f ca="1">IFERROR(__xludf.DUMMYFUNCTION("if($G345="""",false, if(isna(match(L$2, split($G345:$G383,"", "",False),0)),false,true))"),FALSE)</f>
        <v>0</v>
      </c>
      <c r="M345" s="53" t="b">
        <f ca="1">IFERROR(__xludf.DUMMYFUNCTION("if($G345="""",false, if(isna(match(M$2, split($G345:$G383,"", "",False),0)),false,true))"),FALSE)</f>
        <v>0</v>
      </c>
      <c r="N345" s="53" t="b">
        <f ca="1">IFERROR(__xludf.DUMMYFUNCTION("if($G345="""",false, if(isna(match(N$2, split($G345:$G383,"", "",False),0)),false,true))"),FALSE)</f>
        <v>0</v>
      </c>
      <c r="O345" s="53" t="b">
        <f ca="1">IFERROR(__xludf.DUMMYFUNCTION("if($G345="""",false, if(isna(match(O$2, split($G345:$G383,"", "",False),0)),false,true))"),FALSE)</f>
        <v>0</v>
      </c>
      <c r="P345" s="53" t="b">
        <f ca="1">IFERROR(__xludf.DUMMYFUNCTION("if($G345="""",false, if(isna(match(P$2, split($G345:$G383,"", "",False),0)),false,true))"),FALSE)</f>
        <v>0</v>
      </c>
      <c r="Q345" s="53" t="b">
        <f ca="1">IFERROR(__xludf.DUMMYFUNCTION("if($G345="""",false, if(isna(match(Q$2, split($G345:$G383,"", "",False),0)),false,true))"),FALSE)</f>
        <v>0</v>
      </c>
      <c r="R345" s="53" t="b">
        <f ca="1">IFERROR(__xludf.DUMMYFUNCTION("if($G345="""",false, if(isna(match(R$2, split($G345:$G383,"", "",False),0)),false,true))"),FALSE)</f>
        <v>0</v>
      </c>
      <c r="S345" s="53" t="b">
        <f ca="1">IFERROR(__xludf.DUMMYFUNCTION("if($G345="""",false, if(isna(match(S$2, split($G345:$G383,"", "",False),0)),false,true))"),FALSE)</f>
        <v>0</v>
      </c>
      <c r="T345" s="53" t="b">
        <f ca="1">IFERROR(__xludf.DUMMYFUNCTION("if($G345="""",false, if(isna(match(T$2, split($G345:$G383,"", "",False),0)),false,true))"),FALSE)</f>
        <v>0</v>
      </c>
      <c r="U345" s="53" t="b">
        <f ca="1">IFERROR(__xludf.DUMMYFUNCTION("if($G345="""",false, if(isna(match(U$2, split($G345:$G383,"", "",False),0)),false,true))"),FALSE)</f>
        <v>0</v>
      </c>
      <c r="V345" s="53" t="b">
        <f ca="1">IFERROR(__xludf.DUMMYFUNCTION("if($G345="""",false, if(isna(match(V$2, split($G345:$G383,"", "",False),0)),false,true))"),FALSE)</f>
        <v>0</v>
      </c>
      <c r="W345" s="57" t="b">
        <f ca="1">IFERROR(__xludf.DUMMYFUNCTION("if($G345="""",false, if(isna(match(W$2, split($G345:$G383,"", "",False),0)),false,true))"),FALSE)</f>
        <v>0</v>
      </c>
    </row>
    <row r="346" spans="1:23" ht="98">
      <c r="A346" s="47" t="s">
        <v>963</v>
      </c>
      <c r="B346" s="47" t="s">
        <v>63</v>
      </c>
      <c r="C346" s="49" t="s">
        <v>850</v>
      </c>
      <c r="D346" s="52" t="s">
        <v>964</v>
      </c>
      <c r="E346" s="49" t="s">
        <v>965</v>
      </c>
      <c r="F346" s="52" t="s">
        <v>966</v>
      </c>
      <c r="G346" s="59" t="s">
        <v>417</v>
      </c>
      <c r="H346" s="53" t="b">
        <f ca="1">IFERROR(__xludf.DUMMYFUNCTION("if($G346="""",false, if(isna(match(H$2, split($G346:$G383,"", "",False),0)),false,true))"),FALSE)</f>
        <v>0</v>
      </c>
      <c r="I346" s="53" t="b">
        <f ca="1">IFERROR(__xludf.DUMMYFUNCTION("if($G346="""",false, if(isna(match(I$2, split($G346:$G383,"", "",False),0)),false,true))"),FALSE)</f>
        <v>0</v>
      </c>
      <c r="J346" s="53" t="b">
        <f ca="1">IFERROR(__xludf.DUMMYFUNCTION("if($G346="""",false, if(isna(match(J$2, split($G346:$G383,"", "",False),0)),false,true))"),FALSE)</f>
        <v>0</v>
      </c>
      <c r="K346" s="53" t="b">
        <f ca="1">IFERROR(__xludf.DUMMYFUNCTION("if($G346="""",false, if(isna(match(K$2, split($G346:$G383,"", "",False),0)),false,true))"),FALSE)</f>
        <v>0</v>
      </c>
      <c r="L346" s="53" t="b">
        <f ca="1">IFERROR(__xludf.DUMMYFUNCTION("if($G346="""",false, if(isna(match(L$2, split($G346:$G383,"", "",False),0)),false,true))"),TRUE)</f>
        <v>1</v>
      </c>
      <c r="M346" s="53" t="b">
        <f ca="1">IFERROR(__xludf.DUMMYFUNCTION("if($G346="""",false, if(isna(match(M$2, split($G346:$G383,"", "",False),0)),false,true))"),FALSE)</f>
        <v>0</v>
      </c>
      <c r="N346" s="53" t="b">
        <f ca="1">IFERROR(__xludf.DUMMYFUNCTION("if($G346="""",false, if(isna(match(N$2, split($G346:$G383,"", "",False),0)),false,true))"),FALSE)</f>
        <v>0</v>
      </c>
      <c r="O346" s="53" t="b">
        <f ca="1">IFERROR(__xludf.DUMMYFUNCTION("if($G346="""",false, if(isna(match(O$2, split($G346:$G383,"", "",False),0)),false,true))"),FALSE)</f>
        <v>0</v>
      </c>
      <c r="P346" s="53" t="b">
        <f ca="1">IFERROR(__xludf.DUMMYFUNCTION("if($G346="""",false, if(isna(match(P$2, split($G346:$G383,"", "",False),0)),false,true))"),FALSE)</f>
        <v>0</v>
      </c>
      <c r="Q346" s="53" t="b">
        <f ca="1">IFERROR(__xludf.DUMMYFUNCTION("if($G346="""",false, if(isna(match(Q$2, split($G346:$G383,"", "",False),0)),false,true))"),FALSE)</f>
        <v>0</v>
      </c>
      <c r="R346" s="53" t="b">
        <f ca="1">IFERROR(__xludf.DUMMYFUNCTION("if($G346="""",false, if(isna(match(R$2, split($G346:$G383,"", "",False),0)),false,true))"),FALSE)</f>
        <v>0</v>
      </c>
      <c r="S346" s="53" t="b">
        <f ca="1">IFERROR(__xludf.DUMMYFUNCTION("if($G346="""",false, if(isna(match(S$2, split($G346:$G383,"", "",False),0)),false,true))"),FALSE)</f>
        <v>0</v>
      </c>
      <c r="T346" s="53" t="b">
        <f ca="1">IFERROR(__xludf.DUMMYFUNCTION("if($G346="""",false, if(isna(match(T$2, split($G346:$G383,"", "",False),0)),false,true))"),FALSE)</f>
        <v>0</v>
      </c>
      <c r="U346" s="53" t="b">
        <f ca="1">IFERROR(__xludf.DUMMYFUNCTION("if($G346="""",false, if(isna(match(U$2, split($G346:$G383,"", "",False),0)),false,true))"),FALSE)</f>
        <v>0</v>
      </c>
      <c r="V346" s="53" t="b">
        <f ca="1">IFERROR(__xludf.DUMMYFUNCTION("if($G346="""",false, if(isna(match(V$2, split($G346:$G383,"", "",False),0)),false,true))"),FALSE)</f>
        <v>0</v>
      </c>
      <c r="W346" s="57" t="b">
        <f ca="1">IFERROR(__xludf.DUMMYFUNCTION("if($G346="""",false, if(isna(match(W$2, split($G346:$G383,"", "",False),0)),false,true))"),FALSE)</f>
        <v>0</v>
      </c>
    </row>
    <row r="347" spans="1:23" ht="84">
      <c r="A347" s="47" t="s">
        <v>967</v>
      </c>
      <c r="B347" s="47" t="s">
        <v>63</v>
      </c>
      <c r="C347" s="49" t="s">
        <v>850</v>
      </c>
      <c r="D347" s="52" t="s">
        <v>964</v>
      </c>
      <c r="E347" s="49" t="s">
        <v>965</v>
      </c>
      <c r="F347" s="52" t="s">
        <v>968</v>
      </c>
      <c r="G347" s="59" t="s">
        <v>112</v>
      </c>
      <c r="H347" s="53" t="b">
        <f ca="1">IFERROR(__xludf.DUMMYFUNCTION("if($G347="""",false, if(isna(match(H$2, split($G347:$G383,"", "",False),0)),false,true))"),FALSE)</f>
        <v>0</v>
      </c>
      <c r="I347" s="53" t="b">
        <f ca="1">IFERROR(__xludf.DUMMYFUNCTION("if($G347="""",false, if(isna(match(I$2, split($G347:$G383,"", "",False),0)),false,true))"),FALSE)</f>
        <v>0</v>
      </c>
      <c r="J347" s="53" t="b">
        <f ca="1">IFERROR(__xludf.DUMMYFUNCTION("if($G347="""",false, if(isna(match(J$2, split($G347:$G383,"", "",False),0)),false,true))"),FALSE)</f>
        <v>0</v>
      </c>
      <c r="K347" s="53" t="b">
        <f ca="1">IFERROR(__xludf.DUMMYFUNCTION("if($G347="""",false, if(isna(match(K$2, split($G347:$G383,"", "",False),0)),false,true))"),FALSE)</f>
        <v>0</v>
      </c>
      <c r="L347" s="53" t="b">
        <f ca="1">IFERROR(__xludf.DUMMYFUNCTION("if($G347="""",false, if(isna(match(L$2, split($G347:$G383,"", "",False),0)),false,true))"),TRUE)</f>
        <v>1</v>
      </c>
      <c r="M347" s="53" t="b">
        <f ca="1">IFERROR(__xludf.DUMMYFUNCTION("if($G347="""",false, if(isna(match(M$2, split($G347:$G383,"", "",False),0)),false,true))"),FALSE)</f>
        <v>0</v>
      </c>
      <c r="N347" s="53" t="b">
        <f ca="1">IFERROR(__xludf.DUMMYFUNCTION("if($G347="""",false, if(isna(match(N$2, split($G347:$G383,"", "",False),0)),false,true))"),FALSE)</f>
        <v>0</v>
      </c>
      <c r="O347" s="53" t="b">
        <f ca="1">IFERROR(__xludf.DUMMYFUNCTION("if($G347="""",false, if(isna(match(O$2, split($G347:$G383,"", "",False),0)),false,true))"),FALSE)</f>
        <v>0</v>
      </c>
      <c r="P347" s="53" t="b">
        <f ca="1">IFERROR(__xludf.DUMMYFUNCTION("if($G347="""",false, if(isna(match(P$2, split($G347:$G383,"", "",False),0)),false,true))"),FALSE)</f>
        <v>0</v>
      </c>
      <c r="Q347" s="53" t="b">
        <f ca="1">IFERROR(__xludf.DUMMYFUNCTION("if($G347="""",false, if(isna(match(Q$2, split($G347:$G383,"", "",False),0)),false,true))"),FALSE)</f>
        <v>0</v>
      </c>
      <c r="R347" s="53" t="b">
        <f ca="1">IFERROR(__xludf.DUMMYFUNCTION("if($G347="""",false, if(isna(match(R$2, split($G347:$G383,"", "",False),0)),false,true))"),FALSE)</f>
        <v>0</v>
      </c>
      <c r="S347" s="53" t="b">
        <f ca="1">IFERROR(__xludf.DUMMYFUNCTION("if($G347="""",false, if(isna(match(S$2, split($G347:$G383,"", "",False),0)),false,true))"),FALSE)</f>
        <v>0</v>
      </c>
      <c r="T347" s="53" t="b">
        <f ca="1">IFERROR(__xludf.DUMMYFUNCTION("if($G347="""",false, if(isna(match(T$2, split($G347:$G383,"", "",False),0)),false,true))"),FALSE)</f>
        <v>0</v>
      </c>
      <c r="U347" s="53" t="b">
        <f ca="1">IFERROR(__xludf.DUMMYFUNCTION("if($G347="""",false, if(isna(match(U$2, split($G347:$G383,"", "",False),0)),false,true))"),FALSE)</f>
        <v>0</v>
      </c>
      <c r="V347" s="53" t="b">
        <f ca="1">IFERROR(__xludf.DUMMYFUNCTION("if($G347="""",false, if(isna(match(V$2, split($G347:$G383,"", "",False),0)),false,true))"),FALSE)</f>
        <v>0</v>
      </c>
      <c r="W347" s="57" t="b">
        <f ca="1">IFERROR(__xludf.DUMMYFUNCTION("if($G347="""",false, if(isna(match(W$2, split($G347:$G383,"", "",False),0)),false,true))"),FALSE)</f>
        <v>0</v>
      </c>
    </row>
    <row r="348" spans="1:23" ht="56">
      <c r="A348" s="47" t="s">
        <v>969</v>
      </c>
      <c r="B348" s="47" t="s">
        <v>63</v>
      </c>
      <c r="C348" s="49" t="s">
        <v>970</v>
      </c>
      <c r="D348" s="52" t="s">
        <v>971</v>
      </c>
      <c r="E348" s="49" t="s">
        <v>67</v>
      </c>
      <c r="F348" s="52" t="s">
        <v>972</v>
      </c>
      <c r="G348" s="59" t="s">
        <v>108</v>
      </c>
      <c r="H348" s="53" t="b">
        <f ca="1">IFERROR(__xludf.DUMMYFUNCTION("if($G348="""",false, if(isna(match(H$2, split($G348:$G383,"", "",False),0)),false,true))"),TRUE)</f>
        <v>1</v>
      </c>
      <c r="I348" s="53" t="b">
        <f ca="1">IFERROR(__xludf.DUMMYFUNCTION("if($G348="""",false, if(isna(match(I$2, split($G348:$G383,"", "",False),0)),false,true))"),FALSE)</f>
        <v>0</v>
      </c>
      <c r="J348" s="53" t="b">
        <f ca="1">IFERROR(__xludf.DUMMYFUNCTION("if($G348="""",false, if(isna(match(J$2, split($G348:$G383,"", "",False),0)),false,true))"),FALSE)</f>
        <v>0</v>
      </c>
      <c r="K348" s="53" t="b">
        <f ca="1">IFERROR(__xludf.DUMMYFUNCTION("if($G348="""",false, if(isna(match(K$2, split($G348:$G383,"", "",False),0)),false,true))"),FALSE)</f>
        <v>0</v>
      </c>
      <c r="L348" s="53" t="b">
        <f ca="1">IFERROR(__xludf.DUMMYFUNCTION("if($G348="""",false, if(isna(match(L$2, split($G348:$G383,"", "",False),0)),false,true))"),FALSE)</f>
        <v>0</v>
      </c>
      <c r="M348" s="53" t="b">
        <f ca="1">IFERROR(__xludf.DUMMYFUNCTION("if($G348="""",false, if(isna(match(M$2, split($G348:$G383,"", "",False),0)),false,true))"),FALSE)</f>
        <v>0</v>
      </c>
      <c r="N348" s="53" t="b">
        <f ca="1">IFERROR(__xludf.DUMMYFUNCTION("if($G348="""",false, if(isna(match(N$2, split($G348:$G383,"", "",False),0)),false,true))"),FALSE)</f>
        <v>0</v>
      </c>
      <c r="O348" s="53" t="b">
        <f ca="1">IFERROR(__xludf.DUMMYFUNCTION("if($G348="""",false, if(isna(match(O$2, split($G348:$G383,"", "",False),0)),false,true))"),FALSE)</f>
        <v>0</v>
      </c>
      <c r="P348" s="53" t="b">
        <f ca="1">IFERROR(__xludf.DUMMYFUNCTION("if($G348="""",false, if(isna(match(P$2, split($G348:$G383,"", "",False),0)),false,true))"),FALSE)</f>
        <v>0</v>
      </c>
      <c r="Q348" s="53" t="b">
        <f ca="1">IFERROR(__xludf.DUMMYFUNCTION("if($G348="""",false, if(isna(match(Q$2, split($G348:$G383,"", "",False),0)),false,true))"),FALSE)</f>
        <v>0</v>
      </c>
      <c r="R348" s="53" t="b">
        <f ca="1">IFERROR(__xludf.DUMMYFUNCTION("if($G348="""",false, if(isna(match(R$2, split($G348:$G383,"", "",False),0)),false,true))"),FALSE)</f>
        <v>0</v>
      </c>
      <c r="S348" s="53" t="b">
        <f ca="1">IFERROR(__xludf.DUMMYFUNCTION("if($G348="""",false, if(isna(match(S$2, split($G348:$G383,"", "",False),0)),false,true))"),FALSE)</f>
        <v>0</v>
      </c>
      <c r="T348" s="53" t="b">
        <f ca="1">IFERROR(__xludf.DUMMYFUNCTION("if($G348="""",false, if(isna(match(T$2, split($G348:$G383,"", "",False),0)),false,true))"),FALSE)</f>
        <v>0</v>
      </c>
      <c r="U348" s="53" t="b">
        <f ca="1">IFERROR(__xludf.DUMMYFUNCTION("if($G348="""",false, if(isna(match(U$2, split($G348:$G383,"", "",False),0)),false,true))"),FALSE)</f>
        <v>0</v>
      </c>
      <c r="V348" s="53" t="b">
        <f ca="1">IFERROR(__xludf.DUMMYFUNCTION("if($G348="""",false, if(isna(match(V$2, split($G348:$G383,"", "",False),0)),false,true))"),FALSE)</f>
        <v>0</v>
      </c>
      <c r="W348" s="57" t="b">
        <f ca="1">IFERROR(__xludf.DUMMYFUNCTION("if($G348="""",false, if(isna(match(W$2, split($G348:$G383,"", "",False),0)),false,true))"),FALSE)</f>
        <v>0</v>
      </c>
    </row>
    <row r="349" spans="1:23" ht="28">
      <c r="A349" s="47" t="s">
        <v>973</v>
      </c>
      <c r="B349" s="47" t="s">
        <v>63</v>
      </c>
      <c r="C349" s="49" t="s">
        <v>970</v>
      </c>
      <c r="D349" s="52" t="s">
        <v>971</v>
      </c>
      <c r="E349" s="49" t="s">
        <v>974</v>
      </c>
      <c r="F349" s="52" t="s">
        <v>975</v>
      </c>
      <c r="G349" s="59" t="s">
        <v>108</v>
      </c>
      <c r="H349" s="53" t="b">
        <f ca="1">IFERROR(__xludf.DUMMYFUNCTION("if($G349="""",false, if(isna(match(H$2, split($G349:$G383,"", "",False),0)),false,true))"),TRUE)</f>
        <v>1</v>
      </c>
      <c r="I349" s="53" t="b">
        <f ca="1">IFERROR(__xludf.DUMMYFUNCTION("if($G349="""",false, if(isna(match(I$2, split($G349:$G383,"", "",False),0)),false,true))"),FALSE)</f>
        <v>0</v>
      </c>
      <c r="J349" s="53" t="b">
        <f ca="1">IFERROR(__xludf.DUMMYFUNCTION("if($G349="""",false, if(isna(match(J$2, split($G349:$G383,"", "",False),0)),false,true))"),FALSE)</f>
        <v>0</v>
      </c>
      <c r="K349" s="53" t="b">
        <f ca="1">IFERROR(__xludf.DUMMYFUNCTION("if($G349="""",false, if(isna(match(K$2, split($G349:$G383,"", "",False),0)),false,true))"),FALSE)</f>
        <v>0</v>
      </c>
      <c r="L349" s="53" t="b">
        <f ca="1">IFERROR(__xludf.DUMMYFUNCTION("if($G349="""",false, if(isna(match(L$2, split($G349:$G383,"", "",False),0)),false,true))"),FALSE)</f>
        <v>0</v>
      </c>
      <c r="M349" s="53" t="b">
        <f ca="1">IFERROR(__xludf.DUMMYFUNCTION("if($G349="""",false, if(isna(match(M$2, split($G349:$G383,"", "",False),0)),false,true))"),FALSE)</f>
        <v>0</v>
      </c>
      <c r="N349" s="53" t="b">
        <f ca="1">IFERROR(__xludf.DUMMYFUNCTION("if($G349="""",false, if(isna(match(N$2, split($G349:$G383,"", "",False),0)),false,true))"),FALSE)</f>
        <v>0</v>
      </c>
      <c r="O349" s="53" t="b">
        <f ca="1">IFERROR(__xludf.DUMMYFUNCTION("if($G349="""",false, if(isna(match(O$2, split($G349:$G383,"", "",False),0)),false,true))"),FALSE)</f>
        <v>0</v>
      </c>
      <c r="P349" s="53" t="b">
        <f ca="1">IFERROR(__xludf.DUMMYFUNCTION("if($G349="""",false, if(isna(match(P$2, split($G349:$G383,"", "",False),0)),false,true))"),FALSE)</f>
        <v>0</v>
      </c>
      <c r="Q349" s="53" t="b">
        <f ca="1">IFERROR(__xludf.DUMMYFUNCTION("if($G349="""",false, if(isna(match(Q$2, split($G349:$G383,"", "",False),0)),false,true))"),FALSE)</f>
        <v>0</v>
      </c>
      <c r="R349" s="53" t="b">
        <f ca="1">IFERROR(__xludf.DUMMYFUNCTION("if($G349="""",false, if(isna(match(R$2, split($G349:$G383,"", "",False),0)),false,true))"),FALSE)</f>
        <v>0</v>
      </c>
      <c r="S349" s="53" t="b">
        <f ca="1">IFERROR(__xludf.DUMMYFUNCTION("if($G349="""",false, if(isna(match(S$2, split($G349:$G383,"", "",False),0)),false,true))"),FALSE)</f>
        <v>0</v>
      </c>
      <c r="T349" s="53" t="b">
        <f ca="1">IFERROR(__xludf.DUMMYFUNCTION("if($G349="""",false, if(isna(match(T$2, split($G349:$G383,"", "",False),0)),false,true))"),FALSE)</f>
        <v>0</v>
      </c>
      <c r="U349" s="53" t="b">
        <f ca="1">IFERROR(__xludf.DUMMYFUNCTION("if($G349="""",false, if(isna(match(U$2, split($G349:$G383,"", "",False),0)),false,true))"),FALSE)</f>
        <v>0</v>
      </c>
      <c r="V349" s="53" t="b">
        <f ca="1">IFERROR(__xludf.DUMMYFUNCTION("if($G349="""",false, if(isna(match(V$2, split($G349:$G383,"", "",False),0)),false,true))"),FALSE)</f>
        <v>0</v>
      </c>
      <c r="W349" s="57" t="b">
        <f ca="1">IFERROR(__xludf.DUMMYFUNCTION("if($G349="""",false, if(isna(match(W$2, split($G349:$G383,"", "",False),0)),false,true))"),FALSE)</f>
        <v>0</v>
      </c>
    </row>
    <row r="350" spans="1:23" ht="28">
      <c r="A350" s="47" t="s">
        <v>976</v>
      </c>
      <c r="B350" s="47" t="s">
        <v>63</v>
      </c>
      <c r="C350" s="49" t="s">
        <v>970</v>
      </c>
      <c r="D350" s="52" t="s">
        <v>971</v>
      </c>
      <c r="E350" s="49" t="s">
        <v>974</v>
      </c>
      <c r="F350" s="52" t="s">
        <v>977</v>
      </c>
      <c r="G350" s="59" t="s">
        <v>119</v>
      </c>
      <c r="H350" s="53" t="b">
        <f ca="1">IFERROR(__xludf.DUMMYFUNCTION("if($G350="""",false, if(isna(match(H$2, split($G350:$G383,"", "",False),0)),false,true))"),FALSE)</f>
        <v>0</v>
      </c>
      <c r="I350" s="53" t="b">
        <f ca="1">IFERROR(__xludf.DUMMYFUNCTION("if($G350="""",false, if(isna(match(I$2, split($G350:$G383,"", "",False),0)),false,true))"),FALSE)</f>
        <v>0</v>
      </c>
      <c r="J350" s="53" t="b">
        <f ca="1">IFERROR(__xludf.DUMMYFUNCTION("if($G350="""",false, if(isna(match(J$2, split($G350:$G383,"", "",False),0)),false,true))"),FALSE)</f>
        <v>0</v>
      </c>
      <c r="K350" s="53" t="b">
        <f ca="1">IFERROR(__xludf.DUMMYFUNCTION("if($G350="""",false, if(isna(match(K$2, split($G350:$G383,"", "",False),0)),false,true))"),FALSE)</f>
        <v>0</v>
      </c>
      <c r="L350" s="53" t="b">
        <f ca="1">IFERROR(__xludf.DUMMYFUNCTION("if($G350="""",false, if(isna(match(L$2, split($G350:$G383,"", "",False),0)),false,true))"),FALSE)</f>
        <v>0</v>
      </c>
      <c r="M350" s="53" t="b">
        <f ca="1">IFERROR(__xludf.DUMMYFUNCTION("if($G350="""",false, if(isna(match(M$2, split($G350:$G383,"", "",False),0)),false,true))"),FALSE)</f>
        <v>0</v>
      </c>
      <c r="N350" s="53" t="b">
        <f ca="1">IFERROR(__xludf.DUMMYFUNCTION("if($G350="""",false, if(isna(match(N$2, split($G350:$G383,"", "",False),0)),false,true))"),FALSE)</f>
        <v>0</v>
      </c>
      <c r="O350" s="53" t="b">
        <f ca="1">IFERROR(__xludf.DUMMYFUNCTION("if($G350="""",false, if(isna(match(O$2, split($G350:$G383,"", "",False),0)),false,true))"),FALSE)</f>
        <v>0</v>
      </c>
      <c r="P350" s="53" t="b">
        <f ca="1">IFERROR(__xludf.DUMMYFUNCTION("if($G350="""",false, if(isna(match(P$2, split($G350:$G383,"", "",False),0)),false,true))"),FALSE)</f>
        <v>0</v>
      </c>
      <c r="Q350" s="53" t="b">
        <f ca="1">IFERROR(__xludf.DUMMYFUNCTION("if($G350="""",false, if(isna(match(Q$2, split($G350:$G383,"", "",False),0)),false,true))"),FALSE)</f>
        <v>0</v>
      </c>
      <c r="R350" s="53" t="b">
        <f ca="1">IFERROR(__xludf.DUMMYFUNCTION("if($G350="""",false, if(isna(match(R$2, split($G350:$G383,"", "",False),0)),false,true))"),FALSE)</f>
        <v>0</v>
      </c>
      <c r="S350" s="53" t="b">
        <f ca="1">IFERROR(__xludf.DUMMYFUNCTION("if($G350="""",false, if(isna(match(S$2, split($G350:$G383,"", "",False),0)),false,true))"),TRUE)</f>
        <v>1</v>
      </c>
      <c r="T350" s="53" t="b">
        <f ca="1">IFERROR(__xludf.DUMMYFUNCTION("if($G350="""",false, if(isna(match(T$2, split($G350:$G383,"", "",False),0)),false,true))"),FALSE)</f>
        <v>0</v>
      </c>
      <c r="U350" s="53" t="b">
        <f ca="1">IFERROR(__xludf.DUMMYFUNCTION("if($G350="""",false, if(isna(match(U$2, split($G350:$G383,"", "",False),0)),false,true))"),FALSE)</f>
        <v>0</v>
      </c>
      <c r="V350" s="53" t="b">
        <f ca="1">IFERROR(__xludf.DUMMYFUNCTION("if($G350="""",false, if(isna(match(V$2, split($G350:$G383,"", "",False),0)),false,true))"),FALSE)</f>
        <v>0</v>
      </c>
      <c r="W350" s="57" t="b">
        <f ca="1">IFERROR(__xludf.DUMMYFUNCTION("if($G350="""",false, if(isna(match(W$2, split($G350:$G383,"", "",False),0)),false,true))"),FALSE)</f>
        <v>0</v>
      </c>
    </row>
    <row r="351" spans="1:23" ht="84">
      <c r="A351" s="47" t="s">
        <v>978</v>
      </c>
      <c r="B351" s="47" t="s">
        <v>63</v>
      </c>
      <c r="C351" s="49" t="s">
        <v>970</v>
      </c>
      <c r="D351" s="52" t="s">
        <v>971</v>
      </c>
      <c r="E351" s="49" t="s">
        <v>974</v>
      </c>
      <c r="F351" s="52" t="s">
        <v>979</v>
      </c>
      <c r="G351" s="59" t="s">
        <v>980</v>
      </c>
      <c r="H351" s="53" t="b">
        <f ca="1">IFERROR(__xludf.DUMMYFUNCTION("if($G351="""",false, if(isna(match(H$2, split($G351:$G383,"", "",False),0)),false,true))"),TRUE)</f>
        <v>1</v>
      </c>
      <c r="I351" s="53" t="b">
        <f ca="1">IFERROR(__xludf.DUMMYFUNCTION("if($G351="""",false, if(isna(match(I$2, split($G351:$G383,"", "",False),0)),false,true))"),FALSE)</f>
        <v>0</v>
      </c>
      <c r="J351" s="53" t="b">
        <f ca="1">IFERROR(__xludf.DUMMYFUNCTION("if($G351="""",false, if(isna(match(J$2, split($G351:$G383,"", "",False),0)),false,true))"),FALSE)</f>
        <v>0</v>
      </c>
      <c r="K351" s="53" t="b">
        <f ca="1">IFERROR(__xludf.DUMMYFUNCTION("if($G351="""",false, if(isna(match(K$2, split($G351:$G383,"", "",False),0)),false,true))"),TRUE)</f>
        <v>1</v>
      </c>
      <c r="L351" s="53" t="b">
        <f ca="1">IFERROR(__xludf.DUMMYFUNCTION("if($G351="""",false, if(isna(match(L$2, split($G351:$G383,"", "",False),0)),false,true))"),FALSE)</f>
        <v>0</v>
      </c>
      <c r="M351" s="53" t="b">
        <f ca="1">IFERROR(__xludf.DUMMYFUNCTION("if($G351="""",false, if(isna(match(M$2, split($G351:$G383,"", "",False),0)),false,true))"),FALSE)</f>
        <v>0</v>
      </c>
      <c r="N351" s="53" t="b">
        <f ca="1">IFERROR(__xludf.DUMMYFUNCTION("if($G351="""",false, if(isna(match(N$2, split($G351:$G383,"", "",False),0)),false,true))"),FALSE)</f>
        <v>0</v>
      </c>
      <c r="O351" s="53" t="b">
        <f ca="1">IFERROR(__xludf.DUMMYFUNCTION("if($G351="""",false, if(isna(match(O$2, split($G351:$G383,"", "",False),0)),false,true))"),FALSE)</f>
        <v>0</v>
      </c>
      <c r="P351" s="53" t="b">
        <f ca="1">IFERROR(__xludf.DUMMYFUNCTION("if($G351="""",false, if(isna(match(P$2, split($G351:$G383,"", "",False),0)),false,true))"),TRUE)</f>
        <v>1</v>
      </c>
      <c r="Q351" s="53" t="b">
        <f ca="1">IFERROR(__xludf.DUMMYFUNCTION("if($G351="""",false, if(isna(match(Q$2, split($G351:$G383,"", "",False),0)),false,true))"),TRUE)</f>
        <v>1</v>
      </c>
      <c r="R351" s="53" t="b">
        <f ca="1">IFERROR(__xludf.DUMMYFUNCTION("if($G351="""",false, if(isna(match(R$2, split($G351:$G383,"", "",False),0)),false,true))"),TRUE)</f>
        <v>1</v>
      </c>
      <c r="S351" s="53" t="b">
        <f ca="1">IFERROR(__xludf.DUMMYFUNCTION("if($G351="""",false, if(isna(match(S$2, split($G351:$G383,"", "",False),0)),false,true))"),FALSE)</f>
        <v>0</v>
      </c>
      <c r="T351" s="53" t="b">
        <f ca="1">IFERROR(__xludf.DUMMYFUNCTION("if($G351="""",false, if(isna(match(T$2, split($G351:$G383,"", "",False),0)),false,true))"),FALSE)</f>
        <v>0</v>
      </c>
      <c r="U351" s="53" t="b">
        <f ca="1">IFERROR(__xludf.DUMMYFUNCTION("if($G351="""",false, if(isna(match(U$2, split($G351:$G383,"", "",False),0)),false,true))"),FALSE)</f>
        <v>0</v>
      </c>
      <c r="V351" s="53" t="b">
        <f ca="1">IFERROR(__xludf.DUMMYFUNCTION("if($G351="""",false, if(isna(match(V$2, split($G351:$G383,"", "",False),0)),false,true))"),FALSE)</f>
        <v>0</v>
      </c>
      <c r="W351" s="57" t="b">
        <f ca="1">IFERROR(__xludf.DUMMYFUNCTION("if($G351="""",false, if(isna(match(W$2, split($G351:$G383,"", "",False),0)),false,true))"),FALSE)</f>
        <v>0</v>
      </c>
    </row>
    <row r="352" spans="1:23" ht="28">
      <c r="A352" s="47" t="s">
        <v>981</v>
      </c>
      <c r="B352" s="47" t="s">
        <v>63</v>
      </c>
      <c r="C352" s="49" t="s">
        <v>970</v>
      </c>
      <c r="D352" s="52" t="s">
        <v>971</v>
      </c>
      <c r="E352" s="49" t="s">
        <v>974</v>
      </c>
      <c r="F352" s="52" t="s">
        <v>982</v>
      </c>
      <c r="G352" s="59" t="s">
        <v>108</v>
      </c>
      <c r="H352" s="53" t="b">
        <f ca="1">IFERROR(__xludf.DUMMYFUNCTION("if($G352="""",false, if(isna(match(H$2, split($G352:$G383,"", "",False),0)),false,true))"),TRUE)</f>
        <v>1</v>
      </c>
      <c r="I352" s="53" t="b">
        <f ca="1">IFERROR(__xludf.DUMMYFUNCTION("if($G352="""",false, if(isna(match(I$2, split($G352:$G383,"", "",False),0)),false,true))"),FALSE)</f>
        <v>0</v>
      </c>
      <c r="J352" s="53" t="b">
        <f ca="1">IFERROR(__xludf.DUMMYFUNCTION("if($G352="""",false, if(isna(match(J$2, split($G352:$G383,"", "",False),0)),false,true))"),FALSE)</f>
        <v>0</v>
      </c>
      <c r="K352" s="53" t="b">
        <f ca="1">IFERROR(__xludf.DUMMYFUNCTION("if($G352="""",false, if(isna(match(K$2, split($G352:$G383,"", "",False),0)),false,true))"),FALSE)</f>
        <v>0</v>
      </c>
      <c r="L352" s="53" t="b">
        <f ca="1">IFERROR(__xludf.DUMMYFUNCTION("if($G352="""",false, if(isna(match(L$2, split($G352:$G383,"", "",False),0)),false,true))"),FALSE)</f>
        <v>0</v>
      </c>
      <c r="M352" s="53" t="b">
        <f ca="1">IFERROR(__xludf.DUMMYFUNCTION("if($G352="""",false, if(isna(match(M$2, split($G352:$G383,"", "",False),0)),false,true))"),FALSE)</f>
        <v>0</v>
      </c>
      <c r="N352" s="53" t="b">
        <f ca="1">IFERROR(__xludf.DUMMYFUNCTION("if($G352="""",false, if(isna(match(N$2, split($G352:$G383,"", "",False),0)),false,true))"),FALSE)</f>
        <v>0</v>
      </c>
      <c r="O352" s="53" t="b">
        <f ca="1">IFERROR(__xludf.DUMMYFUNCTION("if($G352="""",false, if(isna(match(O$2, split($G352:$G383,"", "",False),0)),false,true))"),FALSE)</f>
        <v>0</v>
      </c>
      <c r="P352" s="53" t="b">
        <f ca="1">IFERROR(__xludf.DUMMYFUNCTION("if($G352="""",false, if(isna(match(P$2, split($G352:$G383,"", "",False),0)),false,true))"),FALSE)</f>
        <v>0</v>
      </c>
      <c r="Q352" s="53" t="b">
        <f ca="1">IFERROR(__xludf.DUMMYFUNCTION("if($G352="""",false, if(isna(match(Q$2, split($G352:$G383,"", "",False),0)),false,true))"),FALSE)</f>
        <v>0</v>
      </c>
      <c r="R352" s="53" t="b">
        <f ca="1">IFERROR(__xludf.DUMMYFUNCTION("if($G352="""",false, if(isna(match(R$2, split($G352:$G383,"", "",False),0)),false,true))"),FALSE)</f>
        <v>0</v>
      </c>
      <c r="S352" s="53" t="b">
        <f ca="1">IFERROR(__xludf.DUMMYFUNCTION("if($G352="""",false, if(isna(match(S$2, split($G352:$G383,"", "",False),0)),false,true))"),FALSE)</f>
        <v>0</v>
      </c>
      <c r="T352" s="53" t="b">
        <f ca="1">IFERROR(__xludf.DUMMYFUNCTION("if($G352="""",false, if(isna(match(T$2, split($G352:$G383,"", "",False),0)),false,true))"),FALSE)</f>
        <v>0</v>
      </c>
      <c r="U352" s="53" t="b">
        <f ca="1">IFERROR(__xludf.DUMMYFUNCTION("if($G352="""",false, if(isna(match(U$2, split($G352:$G383,"", "",False),0)),false,true))"),FALSE)</f>
        <v>0</v>
      </c>
      <c r="V352" s="53" t="b">
        <f ca="1">IFERROR(__xludf.DUMMYFUNCTION("if($G352="""",false, if(isna(match(V$2, split($G352:$G383,"", "",False),0)),false,true))"),FALSE)</f>
        <v>0</v>
      </c>
      <c r="W352" s="57" t="b">
        <f ca="1">IFERROR(__xludf.DUMMYFUNCTION("if($G352="""",false, if(isna(match(W$2, split($G352:$G383,"", "",False),0)),false,true))"),FALSE)</f>
        <v>0</v>
      </c>
    </row>
    <row r="353" spans="1:23" ht="28">
      <c r="A353" s="47" t="s">
        <v>983</v>
      </c>
      <c r="B353" s="47" t="s">
        <v>63</v>
      </c>
      <c r="C353" s="49" t="s">
        <v>970</v>
      </c>
      <c r="D353" s="52" t="s">
        <v>971</v>
      </c>
      <c r="E353" s="49" t="s">
        <v>974</v>
      </c>
      <c r="F353" s="52" t="s">
        <v>984</v>
      </c>
      <c r="G353" s="59" t="s">
        <v>108</v>
      </c>
      <c r="H353" s="53" t="b">
        <f ca="1">IFERROR(__xludf.DUMMYFUNCTION("if($G353="""",false, if(isna(match(H$2, split($G353:$G383,"", "",False),0)),false,true))"),TRUE)</f>
        <v>1</v>
      </c>
      <c r="I353" s="53" t="b">
        <f ca="1">IFERROR(__xludf.DUMMYFUNCTION("if($G353="""",false, if(isna(match(I$2, split($G353:$G383,"", "",False),0)),false,true))"),FALSE)</f>
        <v>0</v>
      </c>
      <c r="J353" s="53" t="b">
        <f ca="1">IFERROR(__xludf.DUMMYFUNCTION("if($G353="""",false, if(isna(match(J$2, split($G353:$G383,"", "",False),0)),false,true))"),FALSE)</f>
        <v>0</v>
      </c>
      <c r="K353" s="53" t="b">
        <f ca="1">IFERROR(__xludf.DUMMYFUNCTION("if($G353="""",false, if(isna(match(K$2, split($G353:$G383,"", "",False),0)),false,true))"),FALSE)</f>
        <v>0</v>
      </c>
      <c r="L353" s="53" t="b">
        <f ca="1">IFERROR(__xludf.DUMMYFUNCTION("if($G353="""",false, if(isna(match(L$2, split($G353:$G383,"", "",False),0)),false,true))"),FALSE)</f>
        <v>0</v>
      </c>
      <c r="M353" s="53" t="b">
        <f ca="1">IFERROR(__xludf.DUMMYFUNCTION("if($G353="""",false, if(isna(match(M$2, split($G353:$G383,"", "",False),0)),false,true))"),FALSE)</f>
        <v>0</v>
      </c>
      <c r="N353" s="53" t="b">
        <f ca="1">IFERROR(__xludf.DUMMYFUNCTION("if($G353="""",false, if(isna(match(N$2, split($G353:$G383,"", "",False),0)),false,true))"),FALSE)</f>
        <v>0</v>
      </c>
      <c r="O353" s="53" t="b">
        <f ca="1">IFERROR(__xludf.DUMMYFUNCTION("if($G353="""",false, if(isna(match(O$2, split($G353:$G383,"", "",False),0)),false,true))"),FALSE)</f>
        <v>0</v>
      </c>
      <c r="P353" s="53" t="b">
        <f ca="1">IFERROR(__xludf.DUMMYFUNCTION("if($G353="""",false, if(isna(match(P$2, split($G353:$G383,"", "",False),0)),false,true))"),FALSE)</f>
        <v>0</v>
      </c>
      <c r="Q353" s="53" t="b">
        <f ca="1">IFERROR(__xludf.DUMMYFUNCTION("if($G353="""",false, if(isna(match(Q$2, split($G353:$G383,"", "",False),0)),false,true))"),FALSE)</f>
        <v>0</v>
      </c>
      <c r="R353" s="53" t="b">
        <f ca="1">IFERROR(__xludf.DUMMYFUNCTION("if($G353="""",false, if(isna(match(R$2, split($G353:$G383,"", "",False),0)),false,true))"),FALSE)</f>
        <v>0</v>
      </c>
      <c r="S353" s="53" t="b">
        <f ca="1">IFERROR(__xludf.DUMMYFUNCTION("if($G353="""",false, if(isna(match(S$2, split($G353:$G383,"", "",False),0)),false,true))"),FALSE)</f>
        <v>0</v>
      </c>
      <c r="T353" s="53" t="b">
        <f ca="1">IFERROR(__xludf.DUMMYFUNCTION("if($G353="""",false, if(isna(match(T$2, split($G353:$G383,"", "",False),0)),false,true))"),FALSE)</f>
        <v>0</v>
      </c>
      <c r="U353" s="53" t="b">
        <f ca="1">IFERROR(__xludf.DUMMYFUNCTION("if($G353="""",false, if(isna(match(U$2, split($G353:$G383,"", "",False),0)),false,true))"),FALSE)</f>
        <v>0</v>
      </c>
      <c r="V353" s="53" t="b">
        <f ca="1">IFERROR(__xludf.DUMMYFUNCTION("if($G353="""",false, if(isna(match(V$2, split($G353:$G383,"", "",False),0)),false,true))"),FALSE)</f>
        <v>0</v>
      </c>
      <c r="W353" s="57" t="b">
        <f ca="1">IFERROR(__xludf.DUMMYFUNCTION("if($G353="""",false, if(isna(match(W$2, split($G353:$G383,"", "",False),0)),false,true))"),FALSE)</f>
        <v>0</v>
      </c>
    </row>
    <row r="354" spans="1:23" ht="42">
      <c r="A354" s="47" t="s">
        <v>985</v>
      </c>
      <c r="B354" s="47" t="s">
        <v>63</v>
      </c>
      <c r="C354" s="49" t="s">
        <v>970</v>
      </c>
      <c r="D354" s="52" t="s">
        <v>971</v>
      </c>
      <c r="E354" s="49" t="s">
        <v>986</v>
      </c>
      <c r="F354" s="52" t="s">
        <v>987</v>
      </c>
      <c r="G354" s="59" t="s">
        <v>111</v>
      </c>
      <c r="H354" s="53" t="b">
        <f ca="1">IFERROR(__xludf.DUMMYFUNCTION("if($G354="""",false, if(isna(match(H$2, split($G354:$G383,"", "",False),0)),false,true))"),FALSE)</f>
        <v>0</v>
      </c>
      <c r="I354" s="53" t="b">
        <f ca="1">IFERROR(__xludf.DUMMYFUNCTION("if($G354="""",false, if(isna(match(I$2, split($G354:$G383,"", "",False),0)),false,true))"),FALSE)</f>
        <v>0</v>
      </c>
      <c r="J354" s="53" t="b">
        <f ca="1">IFERROR(__xludf.DUMMYFUNCTION("if($G354="""",false, if(isna(match(J$2, split($G354:$G383,"", "",False),0)),false,true))"),FALSE)</f>
        <v>0</v>
      </c>
      <c r="K354" s="53" t="b">
        <f ca="1">IFERROR(__xludf.DUMMYFUNCTION("if($G354="""",false, if(isna(match(K$2, split($G354:$G383,"", "",False),0)),false,true))"),TRUE)</f>
        <v>1</v>
      </c>
      <c r="L354" s="53" t="b">
        <f ca="1">IFERROR(__xludf.DUMMYFUNCTION("if($G354="""",false, if(isna(match(L$2, split($G354:$G383,"", "",False),0)),false,true))"),FALSE)</f>
        <v>0</v>
      </c>
      <c r="M354" s="53" t="b">
        <f ca="1">IFERROR(__xludf.DUMMYFUNCTION("if($G354="""",false, if(isna(match(M$2, split($G354:$G383,"", "",False),0)),false,true))"),FALSE)</f>
        <v>0</v>
      </c>
      <c r="N354" s="53" t="b">
        <f ca="1">IFERROR(__xludf.DUMMYFUNCTION("if($G354="""",false, if(isna(match(N$2, split($G354:$G383,"", "",False),0)),false,true))"),FALSE)</f>
        <v>0</v>
      </c>
      <c r="O354" s="53" t="b">
        <f ca="1">IFERROR(__xludf.DUMMYFUNCTION("if($G354="""",false, if(isna(match(O$2, split($G354:$G383,"", "",False),0)),false,true))"),FALSE)</f>
        <v>0</v>
      </c>
      <c r="P354" s="53" t="b">
        <f ca="1">IFERROR(__xludf.DUMMYFUNCTION("if($G354="""",false, if(isna(match(P$2, split($G354:$G383,"", "",False),0)),false,true))"),FALSE)</f>
        <v>0</v>
      </c>
      <c r="Q354" s="53" t="b">
        <f ca="1">IFERROR(__xludf.DUMMYFUNCTION("if($G354="""",false, if(isna(match(Q$2, split($G354:$G383,"", "",False),0)),false,true))"),FALSE)</f>
        <v>0</v>
      </c>
      <c r="R354" s="53" t="b">
        <f ca="1">IFERROR(__xludf.DUMMYFUNCTION("if($G354="""",false, if(isna(match(R$2, split($G354:$G383,"", "",False),0)),false,true))"),FALSE)</f>
        <v>0</v>
      </c>
      <c r="S354" s="53" t="b">
        <f ca="1">IFERROR(__xludf.DUMMYFUNCTION("if($G354="""",false, if(isna(match(S$2, split($G354:$G383,"", "",False),0)),false,true))"),FALSE)</f>
        <v>0</v>
      </c>
      <c r="T354" s="53" t="b">
        <f ca="1">IFERROR(__xludf.DUMMYFUNCTION("if($G354="""",false, if(isna(match(T$2, split($G354:$G383,"", "",False),0)),false,true))"),FALSE)</f>
        <v>0</v>
      </c>
      <c r="U354" s="53" t="b">
        <f ca="1">IFERROR(__xludf.DUMMYFUNCTION("if($G354="""",false, if(isna(match(U$2, split($G354:$G383,"", "",False),0)),false,true))"),FALSE)</f>
        <v>0</v>
      </c>
      <c r="V354" s="53" t="b">
        <f ca="1">IFERROR(__xludf.DUMMYFUNCTION("if($G354="""",false, if(isna(match(V$2, split($G354:$G383,"", "",False),0)),false,true))"),FALSE)</f>
        <v>0</v>
      </c>
      <c r="W354" s="57" t="b">
        <f ca="1">IFERROR(__xludf.DUMMYFUNCTION("if($G354="""",false, if(isna(match(W$2, split($G354:$G383,"", "",False),0)),false,true))"),FALSE)</f>
        <v>0</v>
      </c>
    </row>
    <row r="355" spans="1:23" ht="56">
      <c r="A355" s="47" t="s">
        <v>988</v>
      </c>
      <c r="B355" s="47" t="s">
        <v>63</v>
      </c>
      <c r="C355" s="49" t="s">
        <v>970</v>
      </c>
      <c r="D355" s="52" t="s">
        <v>971</v>
      </c>
      <c r="E355" s="49" t="s">
        <v>986</v>
      </c>
      <c r="F355" s="52" t="s">
        <v>989</v>
      </c>
      <c r="G355" s="59" t="s">
        <v>111</v>
      </c>
      <c r="H355" s="53" t="b">
        <f ca="1">IFERROR(__xludf.DUMMYFUNCTION("if($G355="""",false, if(isna(match(H$2, split($G355:$G383,"", "",False),0)),false,true))"),FALSE)</f>
        <v>0</v>
      </c>
      <c r="I355" s="53" t="b">
        <f ca="1">IFERROR(__xludf.DUMMYFUNCTION("if($G355="""",false, if(isna(match(I$2, split($G355:$G383,"", "",False),0)),false,true))"),FALSE)</f>
        <v>0</v>
      </c>
      <c r="J355" s="53" t="b">
        <f ca="1">IFERROR(__xludf.DUMMYFUNCTION("if($G355="""",false, if(isna(match(J$2, split($G355:$G383,"", "",False),0)),false,true))"),FALSE)</f>
        <v>0</v>
      </c>
      <c r="K355" s="53" t="b">
        <f ca="1">IFERROR(__xludf.DUMMYFUNCTION("if($G355="""",false, if(isna(match(K$2, split($G355:$G383,"", "",False),0)),false,true))"),TRUE)</f>
        <v>1</v>
      </c>
      <c r="L355" s="53" t="b">
        <f ca="1">IFERROR(__xludf.DUMMYFUNCTION("if($G355="""",false, if(isna(match(L$2, split($G355:$G383,"", "",False),0)),false,true))"),FALSE)</f>
        <v>0</v>
      </c>
      <c r="M355" s="53" t="b">
        <f ca="1">IFERROR(__xludf.DUMMYFUNCTION("if($G355="""",false, if(isna(match(M$2, split($G355:$G383,"", "",False),0)),false,true))"),FALSE)</f>
        <v>0</v>
      </c>
      <c r="N355" s="53" t="b">
        <f ca="1">IFERROR(__xludf.DUMMYFUNCTION("if($G355="""",false, if(isna(match(N$2, split($G355:$G383,"", "",False),0)),false,true))"),FALSE)</f>
        <v>0</v>
      </c>
      <c r="O355" s="53" t="b">
        <f ca="1">IFERROR(__xludf.DUMMYFUNCTION("if($G355="""",false, if(isna(match(O$2, split($G355:$G383,"", "",False),0)),false,true))"),FALSE)</f>
        <v>0</v>
      </c>
      <c r="P355" s="53" t="b">
        <f ca="1">IFERROR(__xludf.DUMMYFUNCTION("if($G355="""",false, if(isna(match(P$2, split($G355:$G383,"", "",False),0)),false,true))"),FALSE)</f>
        <v>0</v>
      </c>
      <c r="Q355" s="53" t="b">
        <f ca="1">IFERROR(__xludf.DUMMYFUNCTION("if($G355="""",false, if(isna(match(Q$2, split($G355:$G383,"", "",False),0)),false,true))"),FALSE)</f>
        <v>0</v>
      </c>
      <c r="R355" s="53" t="b">
        <f ca="1">IFERROR(__xludf.DUMMYFUNCTION("if($G355="""",false, if(isna(match(R$2, split($G355:$G383,"", "",False),0)),false,true))"),FALSE)</f>
        <v>0</v>
      </c>
      <c r="S355" s="53" t="b">
        <f ca="1">IFERROR(__xludf.DUMMYFUNCTION("if($G355="""",false, if(isna(match(S$2, split($G355:$G383,"", "",False),0)),false,true))"),FALSE)</f>
        <v>0</v>
      </c>
      <c r="T355" s="53" t="b">
        <f ca="1">IFERROR(__xludf.DUMMYFUNCTION("if($G355="""",false, if(isna(match(T$2, split($G355:$G383,"", "",False),0)),false,true))"),FALSE)</f>
        <v>0</v>
      </c>
      <c r="U355" s="53" t="b">
        <f ca="1">IFERROR(__xludf.DUMMYFUNCTION("if($G355="""",false, if(isna(match(U$2, split($G355:$G383,"", "",False),0)),false,true))"),FALSE)</f>
        <v>0</v>
      </c>
      <c r="V355" s="53" t="b">
        <f ca="1">IFERROR(__xludf.DUMMYFUNCTION("if($G355="""",false, if(isna(match(V$2, split($G355:$G383,"", "",False),0)),false,true))"),FALSE)</f>
        <v>0</v>
      </c>
      <c r="W355" s="57" t="b">
        <f ca="1">IFERROR(__xludf.DUMMYFUNCTION("if($G355="""",false, if(isna(match(W$2, split($G355:$G383,"", "",False),0)),false,true))"),FALSE)</f>
        <v>0</v>
      </c>
    </row>
    <row r="356" spans="1:23" ht="28">
      <c r="A356" s="47" t="s">
        <v>990</v>
      </c>
      <c r="B356" s="47" t="s">
        <v>63</v>
      </c>
      <c r="C356" s="49" t="s">
        <v>970</v>
      </c>
      <c r="D356" s="52" t="s">
        <v>991</v>
      </c>
      <c r="E356" s="49" t="s">
        <v>88</v>
      </c>
      <c r="F356" s="52" t="s">
        <v>992</v>
      </c>
      <c r="G356" s="59" t="s">
        <v>993</v>
      </c>
      <c r="H356" s="53" t="b">
        <f ca="1">IFERROR(__xludf.DUMMYFUNCTION("if($G356="""",false, if(isna(match(H$2, split($G356:$G383,"", "",False),0)),false,true))"),FALSE)</f>
        <v>0</v>
      </c>
      <c r="I356" s="53" t="b">
        <f ca="1">IFERROR(__xludf.DUMMYFUNCTION("if($G356="""",false, if(isna(match(I$2, split($G356:$G383,"", "",False),0)),false,true))"),FALSE)</f>
        <v>0</v>
      </c>
      <c r="J356" s="53" t="b">
        <f ca="1">IFERROR(__xludf.DUMMYFUNCTION("if($G356="""",false, if(isna(match(J$2, split($G356:$G383,"", "",False),0)),false,true))"),FALSE)</f>
        <v>0</v>
      </c>
      <c r="K356" s="53" t="b">
        <f ca="1">IFERROR(__xludf.DUMMYFUNCTION("if($G356="""",false, if(isna(match(K$2, split($G356:$G383,"", "",False),0)),false,true))"),FALSE)</f>
        <v>0</v>
      </c>
      <c r="L356" s="53" t="b">
        <f ca="1">IFERROR(__xludf.DUMMYFUNCTION("if($G356="""",false, if(isna(match(L$2, split($G356:$G383,"", "",False),0)),false,true))"),FALSE)</f>
        <v>0</v>
      </c>
      <c r="M356" s="53" t="b">
        <f ca="1">IFERROR(__xludf.DUMMYFUNCTION("if($G356="""",false, if(isna(match(M$2, split($G356:$G383,"", "",False),0)),false,true))"),FALSE)</f>
        <v>0</v>
      </c>
      <c r="N356" s="53" t="b">
        <f ca="1">IFERROR(__xludf.DUMMYFUNCTION("if($G356="""",false, if(isna(match(N$2, split($G356:$G383,"", "",False),0)),false,true))"),FALSE)</f>
        <v>0</v>
      </c>
      <c r="O356" s="53" t="b">
        <f ca="1">IFERROR(__xludf.DUMMYFUNCTION("if($G356="""",false, if(isna(match(O$2, split($G356:$G383,"", "",False),0)),false,true))"),FALSE)</f>
        <v>0</v>
      </c>
      <c r="P356" s="53" t="b">
        <f ca="1">IFERROR(__xludf.DUMMYFUNCTION("if($G356="""",false, if(isna(match(P$2, split($G356:$G383,"", "",False),0)),false,true))"),TRUE)</f>
        <v>1</v>
      </c>
      <c r="Q356" s="53" t="b">
        <f ca="1">IFERROR(__xludf.DUMMYFUNCTION("if($G356="""",false, if(isna(match(Q$2, split($G356:$G383,"", "",False),0)),false,true))"),TRUE)</f>
        <v>1</v>
      </c>
      <c r="R356" s="53" t="b">
        <f ca="1">IFERROR(__xludf.DUMMYFUNCTION("if($G356="""",false, if(isna(match(R$2, split($G356:$G383,"", "",False),0)),false,true))"),FALSE)</f>
        <v>0</v>
      </c>
      <c r="S356" s="53" t="b">
        <f ca="1">IFERROR(__xludf.DUMMYFUNCTION("if($G356="""",false, if(isna(match(S$2, split($G356:$G383,"", "",False),0)),false,true))"),TRUE)</f>
        <v>1</v>
      </c>
      <c r="T356" s="53" t="b">
        <f ca="1">IFERROR(__xludf.DUMMYFUNCTION("if($G356="""",false, if(isna(match(T$2, split($G356:$G383,"", "",False),0)),false,true))"),FALSE)</f>
        <v>0</v>
      </c>
      <c r="U356" s="53" t="b">
        <f ca="1">IFERROR(__xludf.DUMMYFUNCTION("if($G356="""",false, if(isna(match(U$2, split($G356:$G383,"", "",False),0)),false,true))"),FALSE)</f>
        <v>0</v>
      </c>
      <c r="V356" s="53" t="b">
        <f ca="1">IFERROR(__xludf.DUMMYFUNCTION("if($G356="""",false, if(isna(match(V$2, split($G356:$G383,"", "",False),0)),false,true))"),FALSE)</f>
        <v>0</v>
      </c>
      <c r="W356" s="57" t="b">
        <f ca="1">IFERROR(__xludf.DUMMYFUNCTION("if($G356="""",false, if(isna(match(W$2, split($G356:$G383,"", "",False),0)),false,true))"),FALSE)</f>
        <v>0</v>
      </c>
    </row>
    <row r="357" spans="1:23" ht="98">
      <c r="A357" s="47" t="s">
        <v>994</v>
      </c>
      <c r="B357" s="47" t="s">
        <v>63</v>
      </c>
      <c r="C357" s="49" t="s">
        <v>970</v>
      </c>
      <c r="D357" s="52" t="s">
        <v>991</v>
      </c>
      <c r="E357" s="49" t="s">
        <v>88</v>
      </c>
      <c r="F357" s="52" t="s">
        <v>995</v>
      </c>
      <c r="G357" s="59" t="s">
        <v>789</v>
      </c>
      <c r="H357" s="53" t="b">
        <f ca="1">IFERROR(__xludf.DUMMYFUNCTION("if($G357="""",false, if(isna(match(H$2, split($G357:$G383,"", "",False),0)),false,true))"),FALSE)</f>
        <v>0</v>
      </c>
      <c r="I357" s="53" t="b">
        <f ca="1">IFERROR(__xludf.DUMMYFUNCTION("if($G357="""",false, if(isna(match(I$2, split($G357:$G383,"", "",False),0)),false,true))"),FALSE)</f>
        <v>0</v>
      </c>
      <c r="J357" s="53" t="b">
        <f ca="1">IFERROR(__xludf.DUMMYFUNCTION("if($G357="""",false, if(isna(match(J$2, split($G357:$G383,"", "",False),0)),false,true))"),FALSE)</f>
        <v>0</v>
      </c>
      <c r="K357" s="53" t="b">
        <f ca="1">IFERROR(__xludf.DUMMYFUNCTION("if($G357="""",false, if(isna(match(K$2, split($G357:$G383,"", "",False),0)),false,true))"),FALSE)</f>
        <v>0</v>
      </c>
      <c r="L357" s="53" t="b">
        <f ca="1">IFERROR(__xludf.DUMMYFUNCTION("if($G357="""",false, if(isna(match(L$2, split($G357:$G383,"", "",False),0)),false,true))"),FALSE)</f>
        <v>0</v>
      </c>
      <c r="M357" s="53" t="b">
        <f ca="1">IFERROR(__xludf.DUMMYFUNCTION("if($G357="""",false, if(isna(match(M$2, split($G357:$G383,"", "",False),0)),false,true))"),FALSE)</f>
        <v>0</v>
      </c>
      <c r="N357" s="53" t="b">
        <f ca="1">IFERROR(__xludf.DUMMYFUNCTION("if($G357="""",false, if(isna(match(N$2, split($G357:$G383,"", "",False),0)),false,true))"),FALSE)</f>
        <v>0</v>
      </c>
      <c r="O357" s="53" t="b">
        <f ca="1">IFERROR(__xludf.DUMMYFUNCTION("if($G357="""",false, if(isna(match(O$2, split($G357:$G383,"", "",False),0)),false,true))"),FALSE)</f>
        <v>0</v>
      </c>
      <c r="P357" s="53" t="b">
        <f ca="1">IFERROR(__xludf.DUMMYFUNCTION("if($G357="""",false, if(isna(match(P$2, split($G357:$G383,"", "",False),0)),false,true))"),TRUE)</f>
        <v>1</v>
      </c>
      <c r="Q357" s="53" t="b">
        <f ca="1">IFERROR(__xludf.DUMMYFUNCTION("if($G357="""",false, if(isna(match(Q$2, split($G357:$G383,"", "",False),0)),false,true))"),TRUE)</f>
        <v>1</v>
      </c>
      <c r="R357" s="53" t="b">
        <f ca="1">IFERROR(__xludf.DUMMYFUNCTION("if($G357="""",false, if(isna(match(R$2, split($G357:$G383,"", "",False),0)),false,true))"),TRUE)</f>
        <v>1</v>
      </c>
      <c r="S357" s="53" t="b">
        <f ca="1">IFERROR(__xludf.DUMMYFUNCTION("if($G357="""",false, if(isna(match(S$2, split($G357:$G383,"", "",False),0)),false,true))"),FALSE)</f>
        <v>0</v>
      </c>
      <c r="T357" s="53" t="b">
        <f ca="1">IFERROR(__xludf.DUMMYFUNCTION("if($G357="""",false, if(isna(match(T$2, split($G357:$G383,"", "",False),0)),false,true))"),FALSE)</f>
        <v>0</v>
      </c>
      <c r="U357" s="53" t="b">
        <f ca="1">IFERROR(__xludf.DUMMYFUNCTION("if($G357="""",false, if(isna(match(U$2, split($G357:$G383,"", "",False),0)),false,true))"),FALSE)</f>
        <v>0</v>
      </c>
      <c r="V357" s="53" t="b">
        <f ca="1">IFERROR(__xludf.DUMMYFUNCTION("if($G357="""",false, if(isna(match(V$2, split($G357:$G383,"", "",False),0)),false,true))"),FALSE)</f>
        <v>0</v>
      </c>
      <c r="W357" s="57" t="b">
        <f ca="1">IFERROR(__xludf.DUMMYFUNCTION("if($G357="""",false, if(isna(match(W$2, split($G357:$G383,"", "",False),0)),false,true))"),FALSE)</f>
        <v>0</v>
      </c>
    </row>
    <row r="358" spans="1:23" ht="14">
      <c r="A358" s="47" t="s">
        <v>996</v>
      </c>
      <c r="B358" s="47" t="s">
        <v>63</v>
      </c>
      <c r="C358" s="49" t="s">
        <v>970</v>
      </c>
      <c r="D358" s="52" t="s">
        <v>991</v>
      </c>
      <c r="E358" s="49" t="s">
        <v>88</v>
      </c>
      <c r="F358" s="52" t="s">
        <v>997</v>
      </c>
      <c r="G358" s="59" t="s">
        <v>117</v>
      </c>
      <c r="H358" s="53" t="b">
        <f ca="1">IFERROR(__xludf.DUMMYFUNCTION("if($G358="""",false, if(isna(match(H$2, split($G358:$G383,"", "",False),0)),false,true))"),FALSE)</f>
        <v>0</v>
      </c>
      <c r="I358" s="53" t="b">
        <f ca="1">IFERROR(__xludf.DUMMYFUNCTION("if($G358="""",false, if(isna(match(I$2, split($G358:$G383,"", "",False),0)),false,true))"),FALSE)</f>
        <v>0</v>
      </c>
      <c r="J358" s="53" t="b">
        <f ca="1">IFERROR(__xludf.DUMMYFUNCTION("if($G358="""",false, if(isna(match(J$2, split($G358:$G383,"", "",False),0)),false,true))"),FALSE)</f>
        <v>0</v>
      </c>
      <c r="K358" s="53" t="b">
        <f ca="1">IFERROR(__xludf.DUMMYFUNCTION("if($G358="""",false, if(isna(match(K$2, split($G358:$G383,"", "",False),0)),false,true))"),FALSE)</f>
        <v>0</v>
      </c>
      <c r="L358" s="53" t="b">
        <f ca="1">IFERROR(__xludf.DUMMYFUNCTION("if($G358="""",false, if(isna(match(L$2, split($G358:$G383,"", "",False),0)),false,true))"),FALSE)</f>
        <v>0</v>
      </c>
      <c r="M358" s="53" t="b">
        <f ca="1">IFERROR(__xludf.DUMMYFUNCTION("if($G358="""",false, if(isna(match(M$2, split($G358:$G383,"", "",False),0)),false,true))"),FALSE)</f>
        <v>0</v>
      </c>
      <c r="N358" s="53" t="b">
        <f ca="1">IFERROR(__xludf.DUMMYFUNCTION("if($G358="""",false, if(isna(match(N$2, split($G358:$G383,"", "",False),0)),false,true))"),FALSE)</f>
        <v>0</v>
      </c>
      <c r="O358" s="53" t="b">
        <f ca="1">IFERROR(__xludf.DUMMYFUNCTION("if($G358="""",false, if(isna(match(O$2, split($G358:$G383,"", "",False),0)),false,true))"),FALSE)</f>
        <v>0</v>
      </c>
      <c r="P358" s="53" t="b">
        <f ca="1">IFERROR(__xludf.DUMMYFUNCTION("if($G358="""",false, if(isna(match(P$2, split($G358:$G383,"", "",False),0)),false,true))"),FALSE)</f>
        <v>0</v>
      </c>
      <c r="Q358" s="53" t="b">
        <f ca="1">IFERROR(__xludf.DUMMYFUNCTION("if($G358="""",false, if(isna(match(Q$2, split($G358:$G383,"", "",False),0)),false,true))"),TRUE)</f>
        <v>1</v>
      </c>
      <c r="R358" s="53" t="b">
        <f ca="1">IFERROR(__xludf.DUMMYFUNCTION("if($G358="""",false, if(isna(match(R$2, split($G358:$G383,"", "",False),0)),false,true))"),FALSE)</f>
        <v>0</v>
      </c>
      <c r="S358" s="53" t="b">
        <f ca="1">IFERROR(__xludf.DUMMYFUNCTION("if($G358="""",false, if(isna(match(S$2, split($G358:$G383,"", "",False),0)),false,true))"),FALSE)</f>
        <v>0</v>
      </c>
      <c r="T358" s="53" t="b">
        <f ca="1">IFERROR(__xludf.DUMMYFUNCTION("if($G358="""",false, if(isna(match(T$2, split($G358:$G383,"", "",False),0)),false,true))"),FALSE)</f>
        <v>0</v>
      </c>
      <c r="U358" s="53" t="b">
        <f ca="1">IFERROR(__xludf.DUMMYFUNCTION("if($G358="""",false, if(isna(match(U$2, split($G358:$G383,"", "",False),0)),false,true))"),FALSE)</f>
        <v>0</v>
      </c>
      <c r="V358" s="53" t="b">
        <f ca="1">IFERROR(__xludf.DUMMYFUNCTION("if($G358="""",false, if(isna(match(V$2, split($G358:$G383,"", "",False),0)),false,true))"),FALSE)</f>
        <v>0</v>
      </c>
      <c r="W358" s="57" t="b">
        <f ca="1">IFERROR(__xludf.DUMMYFUNCTION("if($G358="""",false, if(isna(match(W$2, split($G358:$G383,"", "",False),0)),false,true))"),FALSE)</f>
        <v>0</v>
      </c>
    </row>
    <row r="359" spans="1:23" ht="28">
      <c r="A359" s="47" t="s">
        <v>998</v>
      </c>
      <c r="B359" s="47" t="s">
        <v>63</v>
      </c>
      <c r="C359" s="49" t="s">
        <v>970</v>
      </c>
      <c r="D359" s="52" t="s">
        <v>991</v>
      </c>
      <c r="E359" s="49" t="s">
        <v>88</v>
      </c>
      <c r="F359" s="52" t="s">
        <v>999</v>
      </c>
      <c r="G359" s="59" t="s">
        <v>117</v>
      </c>
      <c r="H359" s="53" t="b">
        <f ca="1">IFERROR(__xludf.DUMMYFUNCTION("if($G359="""",false, if(isna(match(H$2, split($G359:$G383,"", "",False),0)),false,true))"),FALSE)</f>
        <v>0</v>
      </c>
      <c r="I359" s="53" t="b">
        <f ca="1">IFERROR(__xludf.DUMMYFUNCTION("if($G359="""",false, if(isna(match(I$2, split($G359:$G383,"", "",False),0)),false,true))"),FALSE)</f>
        <v>0</v>
      </c>
      <c r="J359" s="53" t="b">
        <f ca="1">IFERROR(__xludf.DUMMYFUNCTION("if($G359="""",false, if(isna(match(J$2, split($G359:$G383,"", "",False),0)),false,true))"),FALSE)</f>
        <v>0</v>
      </c>
      <c r="K359" s="53" t="b">
        <f ca="1">IFERROR(__xludf.DUMMYFUNCTION("if($G359="""",false, if(isna(match(K$2, split($G359:$G383,"", "",False),0)),false,true))"),FALSE)</f>
        <v>0</v>
      </c>
      <c r="L359" s="53" t="b">
        <f ca="1">IFERROR(__xludf.DUMMYFUNCTION("if($G359="""",false, if(isna(match(L$2, split($G359:$G383,"", "",False),0)),false,true))"),FALSE)</f>
        <v>0</v>
      </c>
      <c r="M359" s="53" t="b">
        <f ca="1">IFERROR(__xludf.DUMMYFUNCTION("if($G359="""",false, if(isna(match(M$2, split($G359:$G383,"", "",False),0)),false,true))"),FALSE)</f>
        <v>0</v>
      </c>
      <c r="N359" s="53" t="b">
        <f ca="1">IFERROR(__xludf.DUMMYFUNCTION("if($G359="""",false, if(isna(match(N$2, split($G359:$G383,"", "",False),0)),false,true))"),FALSE)</f>
        <v>0</v>
      </c>
      <c r="O359" s="53" t="b">
        <f ca="1">IFERROR(__xludf.DUMMYFUNCTION("if($G359="""",false, if(isna(match(O$2, split($G359:$G383,"", "",False),0)),false,true))"),FALSE)</f>
        <v>0</v>
      </c>
      <c r="P359" s="53" t="b">
        <f ca="1">IFERROR(__xludf.DUMMYFUNCTION("if($G359="""",false, if(isna(match(P$2, split($G359:$G383,"", "",False),0)),false,true))"),FALSE)</f>
        <v>0</v>
      </c>
      <c r="Q359" s="53" t="b">
        <f ca="1">IFERROR(__xludf.DUMMYFUNCTION("if($G359="""",false, if(isna(match(Q$2, split($G359:$G383,"", "",False),0)),false,true))"),TRUE)</f>
        <v>1</v>
      </c>
      <c r="R359" s="53" t="b">
        <f ca="1">IFERROR(__xludf.DUMMYFUNCTION("if($G359="""",false, if(isna(match(R$2, split($G359:$G383,"", "",False),0)),false,true))"),FALSE)</f>
        <v>0</v>
      </c>
      <c r="S359" s="53" t="b">
        <f ca="1">IFERROR(__xludf.DUMMYFUNCTION("if($G359="""",false, if(isna(match(S$2, split($G359:$G383,"", "",False),0)),false,true))"),FALSE)</f>
        <v>0</v>
      </c>
      <c r="T359" s="53" t="b">
        <f ca="1">IFERROR(__xludf.DUMMYFUNCTION("if($G359="""",false, if(isna(match(T$2, split($G359:$G383,"", "",False),0)),false,true))"),FALSE)</f>
        <v>0</v>
      </c>
      <c r="U359" s="53" t="b">
        <f ca="1">IFERROR(__xludf.DUMMYFUNCTION("if($G359="""",false, if(isna(match(U$2, split($G359:$G383,"", "",False),0)),false,true))"),FALSE)</f>
        <v>0</v>
      </c>
      <c r="V359" s="53" t="b">
        <f ca="1">IFERROR(__xludf.DUMMYFUNCTION("if($G359="""",false, if(isna(match(V$2, split($G359:$G383,"", "",False),0)),false,true))"),FALSE)</f>
        <v>0</v>
      </c>
      <c r="W359" s="57" t="b">
        <f ca="1">IFERROR(__xludf.DUMMYFUNCTION("if($G359="""",false, if(isna(match(W$2, split($G359:$G383,"", "",False),0)),false,true))"),FALSE)</f>
        <v>0</v>
      </c>
    </row>
    <row r="360" spans="1:23" ht="84">
      <c r="A360" s="47" t="s">
        <v>1000</v>
      </c>
      <c r="B360" s="47" t="s">
        <v>63</v>
      </c>
      <c r="C360" s="49" t="s">
        <v>970</v>
      </c>
      <c r="D360" s="52" t="s">
        <v>991</v>
      </c>
      <c r="E360" s="49" t="s">
        <v>163</v>
      </c>
      <c r="F360" s="52" t="s">
        <v>1001</v>
      </c>
      <c r="G360" s="59" t="s">
        <v>116</v>
      </c>
      <c r="H360" s="53" t="b">
        <f ca="1">IFERROR(__xludf.DUMMYFUNCTION("if($G360="""",false, if(isna(match(H$2, split($G360:$G383,"", "",False),0)),false,true))"),FALSE)</f>
        <v>0</v>
      </c>
      <c r="I360" s="53" t="b">
        <f ca="1">IFERROR(__xludf.DUMMYFUNCTION("if($G360="""",false, if(isna(match(I$2, split($G360:$G383,"", "",False),0)),false,true))"),FALSE)</f>
        <v>0</v>
      </c>
      <c r="J360" s="53" t="b">
        <f ca="1">IFERROR(__xludf.DUMMYFUNCTION("if($G360="""",false, if(isna(match(J$2, split($G360:$G383,"", "",False),0)),false,true))"),FALSE)</f>
        <v>0</v>
      </c>
      <c r="K360" s="53" t="b">
        <f ca="1">IFERROR(__xludf.DUMMYFUNCTION("if($G360="""",false, if(isna(match(K$2, split($G360:$G383,"", "",False),0)),false,true))"),FALSE)</f>
        <v>0</v>
      </c>
      <c r="L360" s="53" t="b">
        <f ca="1">IFERROR(__xludf.DUMMYFUNCTION("if($G360="""",false, if(isna(match(L$2, split($G360:$G383,"", "",False),0)),false,true))"),FALSE)</f>
        <v>0</v>
      </c>
      <c r="M360" s="53" t="b">
        <f ca="1">IFERROR(__xludf.DUMMYFUNCTION("if($G360="""",false, if(isna(match(M$2, split($G360:$G383,"", "",False),0)),false,true))"),FALSE)</f>
        <v>0</v>
      </c>
      <c r="N360" s="53" t="b">
        <f ca="1">IFERROR(__xludf.DUMMYFUNCTION("if($G360="""",false, if(isna(match(N$2, split($G360:$G383,"", "",False),0)),false,true))"),FALSE)</f>
        <v>0</v>
      </c>
      <c r="O360" s="53" t="b">
        <f ca="1">IFERROR(__xludf.DUMMYFUNCTION("if($G360="""",false, if(isna(match(O$2, split($G360:$G383,"", "",False),0)),false,true))"),FALSE)</f>
        <v>0</v>
      </c>
      <c r="P360" s="53" t="b">
        <f ca="1">IFERROR(__xludf.DUMMYFUNCTION("if($G360="""",false, if(isna(match(P$2, split($G360:$G383,"", "",False),0)),false,true))"),TRUE)</f>
        <v>1</v>
      </c>
      <c r="Q360" s="53" t="b">
        <f ca="1">IFERROR(__xludf.DUMMYFUNCTION("if($G360="""",false, if(isna(match(Q$2, split($G360:$G383,"", "",False),0)),false,true))"),FALSE)</f>
        <v>0</v>
      </c>
      <c r="R360" s="53" t="b">
        <f ca="1">IFERROR(__xludf.DUMMYFUNCTION("if($G360="""",false, if(isna(match(R$2, split($G360:$G383,"", "",False),0)),false,true))"),FALSE)</f>
        <v>0</v>
      </c>
      <c r="S360" s="53" t="b">
        <f ca="1">IFERROR(__xludf.DUMMYFUNCTION("if($G360="""",false, if(isna(match(S$2, split($G360:$G383,"", "",False),0)),false,true))"),FALSE)</f>
        <v>0</v>
      </c>
      <c r="T360" s="53" t="b">
        <f ca="1">IFERROR(__xludf.DUMMYFUNCTION("if($G360="""",false, if(isna(match(T$2, split($G360:$G383,"", "",False),0)),false,true))"),FALSE)</f>
        <v>0</v>
      </c>
      <c r="U360" s="53" t="b">
        <f ca="1">IFERROR(__xludf.DUMMYFUNCTION("if($G360="""",false, if(isna(match(U$2, split($G360:$G383,"", "",False),0)),false,true))"),FALSE)</f>
        <v>0</v>
      </c>
      <c r="V360" s="53" t="b">
        <f ca="1">IFERROR(__xludf.DUMMYFUNCTION("if($G360="""",false, if(isna(match(V$2, split($G360:$G383,"", "",False),0)),false,true))"),FALSE)</f>
        <v>0</v>
      </c>
      <c r="W360" s="57" t="b">
        <f ca="1">IFERROR(__xludf.DUMMYFUNCTION("if($G360="""",false, if(isna(match(W$2, split($G360:$G383,"", "",False),0)),false,true))"),FALSE)</f>
        <v>0</v>
      </c>
    </row>
    <row r="361" spans="1:23" ht="28">
      <c r="A361" s="47" t="s">
        <v>1002</v>
      </c>
      <c r="B361" s="47" t="s">
        <v>63</v>
      </c>
      <c r="C361" s="49" t="s">
        <v>970</v>
      </c>
      <c r="D361" s="52" t="s">
        <v>991</v>
      </c>
      <c r="E361" s="49" t="s">
        <v>101</v>
      </c>
      <c r="F361" s="52" t="s">
        <v>1003</v>
      </c>
      <c r="G361" s="59" t="s">
        <v>120</v>
      </c>
      <c r="H361" s="53" t="b">
        <f ca="1">IFERROR(__xludf.DUMMYFUNCTION("if($G361="""",false, if(isna(match(H$2, split($G361:$G383,"", "",False),0)),false,true))"),FALSE)</f>
        <v>0</v>
      </c>
      <c r="I361" s="53" t="b">
        <f ca="1">IFERROR(__xludf.DUMMYFUNCTION("if($G361="""",false, if(isna(match(I$2, split($G361:$G383,"", "",False),0)),false,true))"),FALSE)</f>
        <v>0</v>
      </c>
      <c r="J361" s="53" t="b">
        <f ca="1">IFERROR(__xludf.DUMMYFUNCTION("if($G361="""",false, if(isna(match(J$2, split($G361:$G383,"", "",False),0)),false,true))"),FALSE)</f>
        <v>0</v>
      </c>
      <c r="K361" s="53" t="b">
        <f ca="1">IFERROR(__xludf.DUMMYFUNCTION("if($G361="""",false, if(isna(match(K$2, split($G361:$G383,"", "",False),0)),false,true))"),FALSE)</f>
        <v>0</v>
      </c>
      <c r="L361" s="53" t="b">
        <f ca="1">IFERROR(__xludf.DUMMYFUNCTION("if($G361="""",false, if(isna(match(L$2, split($G361:$G383,"", "",False),0)),false,true))"),FALSE)</f>
        <v>0</v>
      </c>
      <c r="M361" s="53" t="b">
        <f ca="1">IFERROR(__xludf.DUMMYFUNCTION("if($G361="""",false, if(isna(match(M$2, split($G361:$G383,"", "",False),0)),false,true))"),FALSE)</f>
        <v>0</v>
      </c>
      <c r="N361" s="53" t="b">
        <f ca="1">IFERROR(__xludf.DUMMYFUNCTION("if($G361="""",false, if(isna(match(N$2, split($G361:$G383,"", "",False),0)),false,true))"),FALSE)</f>
        <v>0</v>
      </c>
      <c r="O361" s="53" t="b">
        <f ca="1">IFERROR(__xludf.DUMMYFUNCTION("if($G361="""",false, if(isna(match(O$2, split($G361:$G383,"", "",False),0)),false,true))"),FALSE)</f>
        <v>0</v>
      </c>
      <c r="P361" s="53" t="b">
        <f ca="1">IFERROR(__xludf.DUMMYFUNCTION("if($G361="""",false, if(isna(match(P$2, split($G361:$G383,"", "",False),0)),false,true))"),FALSE)</f>
        <v>0</v>
      </c>
      <c r="Q361" s="53" t="b">
        <f ca="1">IFERROR(__xludf.DUMMYFUNCTION("if($G361="""",false, if(isna(match(Q$2, split($G361:$G383,"", "",False),0)),false,true))"),FALSE)</f>
        <v>0</v>
      </c>
      <c r="R361" s="53" t="b">
        <f ca="1">IFERROR(__xludf.DUMMYFUNCTION("if($G361="""",false, if(isna(match(R$2, split($G361:$G383,"", "",False),0)),false,true))"),FALSE)</f>
        <v>0</v>
      </c>
      <c r="S361" s="53" t="b">
        <f ca="1">IFERROR(__xludf.DUMMYFUNCTION("if($G361="""",false, if(isna(match(S$2, split($G361:$G383,"", "",False),0)),false,true))"),FALSE)</f>
        <v>0</v>
      </c>
      <c r="T361" s="53" t="b">
        <f ca="1">IFERROR(__xludf.DUMMYFUNCTION("if($G361="""",false, if(isna(match(T$2, split($G361:$G383,"", "",False),0)),false,true))"),TRUE)</f>
        <v>1</v>
      </c>
      <c r="U361" s="53" t="b">
        <f ca="1">IFERROR(__xludf.DUMMYFUNCTION("if($G361="""",false, if(isna(match(U$2, split($G361:$G383,"", "",False),0)),false,true))"),FALSE)</f>
        <v>0</v>
      </c>
      <c r="V361" s="53" t="b">
        <f ca="1">IFERROR(__xludf.DUMMYFUNCTION("if($G361="""",false, if(isna(match(V$2, split($G361:$G383,"", "",False),0)),false,true))"),FALSE)</f>
        <v>0</v>
      </c>
      <c r="W361" s="57" t="b">
        <f ca="1">IFERROR(__xludf.DUMMYFUNCTION("if($G361="""",false, if(isna(match(W$2, split($G361:$G383,"", "",False),0)),false,true))"),FALSE)</f>
        <v>0</v>
      </c>
    </row>
    <row r="362" spans="1:23" ht="70">
      <c r="A362" s="47" t="s">
        <v>1004</v>
      </c>
      <c r="B362" s="47" t="s">
        <v>63</v>
      </c>
      <c r="C362" s="49" t="s">
        <v>970</v>
      </c>
      <c r="D362" s="52" t="s">
        <v>991</v>
      </c>
      <c r="E362" s="49" t="s">
        <v>101</v>
      </c>
      <c r="F362" s="52" t="s">
        <v>1005</v>
      </c>
      <c r="G362" s="59" t="s">
        <v>566</v>
      </c>
      <c r="H362" s="53" t="b">
        <f ca="1">IFERROR(__xludf.DUMMYFUNCTION("if($G362="""",false, if(isna(match(H$2, split($G362:$G383,"", "",False),0)),false,true))"),FALSE)</f>
        <v>0</v>
      </c>
      <c r="I362" s="53" t="b">
        <f ca="1">IFERROR(__xludf.DUMMYFUNCTION("if($G362="""",false, if(isna(match(I$2, split($G362:$G383,"", "",False),0)),false,true))"),FALSE)</f>
        <v>0</v>
      </c>
      <c r="J362" s="53" t="b">
        <f ca="1">IFERROR(__xludf.DUMMYFUNCTION("if($G362="""",false, if(isna(match(J$2, split($G362:$G383,"", "",False),0)),false,true))"),FALSE)</f>
        <v>0</v>
      </c>
      <c r="K362" s="53" t="b">
        <f ca="1">IFERROR(__xludf.DUMMYFUNCTION("if($G362="""",false, if(isna(match(K$2, split($G362:$G383,"", "",False),0)),false,true))"),FALSE)</f>
        <v>0</v>
      </c>
      <c r="L362" s="53" t="b">
        <f ca="1">IFERROR(__xludf.DUMMYFUNCTION("if($G362="""",false, if(isna(match(L$2, split($G362:$G383,"", "",False),0)),false,true))"),FALSE)</f>
        <v>0</v>
      </c>
      <c r="M362" s="53" t="b">
        <f ca="1">IFERROR(__xludf.DUMMYFUNCTION("if($G362="""",false, if(isna(match(M$2, split($G362:$G383,"", "",False),0)),false,true))"),FALSE)</f>
        <v>0</v>
      </c>
      <c r="N362" s="53" t="b">
        <f ca="1">IFERROR(__xludf.DUMMYFUNCTION("if($G362="""",false, if(isna(match(N$2, split($G362:$G383,"", "",False),0)),false,true))"),FALSE)</f>
        <v>0</v>
      </c>
      <c r="O362" s="53" t="b">
        <f ca="1">IFERROR(__xludf.DUMMYFUNCTION("if($G362="""",false, if(isna(match(O$2, split($G362:$G383,"", "",False),0)),false,true))"),FALSE)</f>
        <v>0</v>
      </c>
      <c r="P362" s="53" t="b">
        <f ca="1">IFERROR(__xludf.DUMMYFUNCTION("if($G362="""",false, if(isna(match(P$2, split($G362:$G383,"", "",False),0)),false,true))"),FALSE)</f>
        <v>0</v>
      </c>
      <c r="Q362" s="53" t="b">
        <f ca="1">IFERROR(__xludf.DUMMYFUNCTION("if($G362="""",false, if(isna(match(Q$2, split($G362:$G383,"", "",False),0)),false,true))"),FALSE)</f>
        <v>0</v>
      </c>
      <c r="R362" s="53" t="b">
        <f ca="1">IFERROR(__xludf.DUMMYFUNCTION("if($G362="""",false, if(isna(match(R$2, split($G362:$G383,"", "",False),0)),false,true))"),FALSE)</f>
        <v>0</v>
      </c>
      <c r="S362" s="53" t="b">
        <f ca="1">IFERROR(__xludf.DUMMYFUNCTION("if($G362="""",false, if(isna(match(S$2, split($G362:$G383,"", "",False),0)),false,true))"),FALSE)</f>
        <v>0</v>
      </c>
      <c r="T362" s="53" t="b">
        <f ca="1">IFERROR(__xludf.DUMMYFUNCTION("if($G362="""",false, if(isna(match(T$2, split($G362:$G383,"", "",False),0)),false,true))"),FALSE)</f>
        <v>0</v>
      </c>
      <c r="U362" s="53" t="b">
        <f ca="1">IFERROR(__xludf.DUMMYFUNCTION("if($G362="""",false, if(isna(match(U$2, split($G362:$G383,"", "",False),0)),false,true))"),FALSE)</f>
        <v>0</v>
      </c>
      <c r="V362" s="53" t="b">
        <f ca="1">IFERROR(__xludf.DUMMYFUNCTION("if($G362="""",false, if(isna(match(V$2, split($G362:$G383,"", "",False),0)),false,true))"),FALSE)</f>
        <v>0</v>
      </c>
      <c r="W362" s="57" t="b">
        <f ca="1">IFERROR(__xludf.DUMMYFUNCTION("if($G362="""",false, if(isna(match(W$2, split($G362:$G383,"", "",False),0)),false,true))"),FALSE)</f>
        <v>0</v>
      </c>
    </row>
    <row r="363" spans="1:23" ht="28">
      <c r="A363" s="47" t="s">
        <v>1006</v>
      </c>
      <c r="B363" s="47" t="s">
        <v>63</v>
      </c>
      <c r="C363" s="49" t="s">
        <v>970</v>
      </c>
      <c r="D363" s="52" t="s">
        <v>991</v>
      </c>
      <c r="E363" s="49" t="s">
        <v>101</v>
      </c>
      <c r="F363" s="52" t="s">
        <v>1007</v>
      </c>
      <c r="G363" s="59" t="s">
        <v>230</v>
      </c>
      <c r="H363" s="53" t="b">
        <f ca="1">IFERROR(__xludf.DUMMYFUNCTION("if($G363="""",false, if(isna(match(H$2, split($G363:$G383,"", "",False),0)),false,true))"),FALSE)</f>
        <v>0</v>
      </c>
      <c r="I363" s="53" t="b">
        <f ca="1">IFERROR(__xludf.DUMMYFUNCTION("if($G363="""",false, if(isna(match(I$2, split($G363:$G383,"", "",False),0)),false,true))"),FALSE)</f>
        <v>0</v>
      </c>
      <c r="J363" s="53" t="b">
        <f ca="1">IFERROR(__xludf.DUMMYFUNCTION("if($G363="""",false, if(isna(match(J$2, split($G363:$G383,"", "",False),0)),false,true))"),FALSE)</f>
        <v>0</v>
      </c>
      <c r="K363" s="53" t="b">
        <f ca="1">IFERROR(__xludf.DUMMYFUNCTION("if($G363="""",false, if(isna(match(K$2, split($G363:$G383,"", "",False),0)),false,true))"),FALSE)</f>
        <v>0</v>
      </c>
      <c r="L363" s="53" t="b">
        <f ca="1">IFERROR(__xludf.DUMMYFUNCTION("if($G363="""",false, if(isna(match(L$2, split($G363:$G383,"", "",False),0)),false,true))"),FALSE)</f>
        <v>0</v>
      </c>
      <c r="M363" s="53" t="b">
        <f ca="1">IFERROR(__xludf.DUMMYFUNCTION("if($G363="""",false, if(isna(match(M$2, split($G363:$G383,"", "",False),0)),false,true))"),FALSE)</f>
        <v>0</v>
      </c>
      <c r="N363" s="53" t="b">
        <f ca="1">IFERROR(__xludf.DUMMYFUNCTION("if($G363="""",false, if(isna(match(N$2, split($G363:$G383,"", "",False),0)),false,true))"),FALSE)</f>
        <v>0</v>
      </c>
      <c r="O363" s="53" t="b">
        <f ca="1">IFERROR(__xludf.DUMMYFUNCTION("if($G363="""",false, if(isna(match(O$2, split($G363:$G383,"", "",False),0)),false,true))"),FALSE)</f>
        <v>0</v>
      </c>
      <c r="P363" s="53" t="b">
        <f ca="1">IFERROR(__xludf.DUMMYFUNCTION("if($G363="""",false, if(isna(match(P$2, split($G363:$G383,"", "",False),0)),false,true))"),FALSE)</f>
        <v>0</v>
      </c>
      <c r="Q363" s="53" t="b">
        <f ca="1">IFERROR(__xludf.DUMMYFUNCTION("if($G363="""",false, if(isna(match(Q$2, split($G363:$G383,"", "",False),0)),false,true))"),FALSE)</f>
        <v>0</v>
      </c>
      <c r="R363" s="53" t="b">
        <f ca="1">IFERROR(__xludf.DUMMYFUNCTION("if($G363="""",false, if(isna(match(R$2, split($G363:$G383,"", "",False),0)),false,true))"),FALSE)</f>
        <v>0</v>
      </c>
      <c r="S363" s="53" t="b">
        <f ca="1">IFERROR(__xludf.DUMMYFUNCTION("if($G363="""",false, if(isna(match(S$2, split($G363:$G383,"", "",False),0)),false,true))"),FALSE)</f>
        <v>0</v>
      </c>
      <c r="T363" s="53" t="b">
        <f ca="1">IFERROR(__xludf.DUMMYFUNCTION("if($G363="""",false, if(isna(match(T$2, split($G363:$G383,"", "",False),0)),false,true))"),TRUE)</f>
        <v>1</v>
      </c>
      <c r="U363" s="53" t="b">
        <f ca="1">IFERROR(__xludf.DUMMYFUNCTION("if($G363="""",false, if(isna(match(U$2, split($G363:$G383,"", "",False),0)),false,true))"),FALSE)</f>
        <v>0</v>
      </c>
      <c r="V363" s="53" t="b">
        <f ca="1">IFERROR(__xludf.DUMMYFUNCTION("if($G363="""",false, if(isna(match(V$2, split($G363:$G383,"", "",False),0)),false,true))"),FALSE)</f>
        <v>0</v>
      </c>
      <c r="W363" s="57" t="b">
        <f ca="1">IFERROR(__xludf.DUMMYFUNCTION("if($G363="""",false, if(isna(match(W$2, split($G363:$G383,"", "",False),0)),false,true))"),FALSE)</f>
        <v>0</v>
      </c>
    </row>
    <row r="364" spans="1:23" ht="28">
      <c r="A364" s="47" t="s">
        <v>1008</v>
      </c>
      <c r="B364" s="47" t="s">
        <v>63</v>
      </c>
      <c r="C364" s="49" t="s">
        <v>970</v>
      </c>
      <c r="D364" s="52" t="s">
        <v>991</v>
      </c>
      <c r="E364" s="49" t="s">
        <v>101</v>
      </c>
      <c r="F364" s="52" t="s">
        <v>1009</v>
      </c>
      <c r="G364" s="59" t="s">
        <v>115</v>
      </c>
      <c r="H364" s="53" t="b">
        <f ca="1">IFERROR(__xludf.DUMMYFUNCTION("if($G364="""",false, if(isna(match(H$2, split($G364:$G383,"", "",False),0)),false,true))"),FALSE)</f>
        <v>0</v>
      </c>
      <c r="I364" s="53" t="b">
        <f ca="1">IFERROR(__xludf.DUMMYFUNCTION("if($G364="""",false, if(isna(match(I$2, split($G364:$G383,"", "",False),0)),false,true))"),FALSE)</f>
        <v>0</v>
      </c>
      <c r="J364" s="53" t="b">
        <f ca="1">IFERROR(__xludf.DUMMYFUNCTION("if($G364="""",false, if(isna(match(J$2, split($G364:$G383,"", "",False),0)),false,true))"),FALSE)</f>
        <v>0</v>
      </c>
      <c r="K364" s="53" t="b">
        <f ca="1">IFERROR(__xludf.DUMMYFUNCTION("if($G364="""",false, if(isna(match(K$2, split($G364:$G383,"", "",False),0)),false,true))"),FALSE)</f>
        <v>0</v>
      </c>
      <c r="L364" s="53" t="b">
        <f ca="1">IFERROR(__xludf.DUMMYFUNCTION("if($G364="""",false, if(isna(match(L$2, split($G364:$G383,"", "",False),0)),false,true))"),FALSE)</f>
        <v>0</v>
      </c>
      <c r="M364" s="53" t="b">
        <f ca="1">IFERROR(__xludf.DUMMYFUNCTION("if($G364="""",false, if(isna(match(M$2, split($G364:$G383,"", "",False),0)),false,true))"),FALSE)</f>
        <v>0</v>
      </c>
      <c r="N364" s="53" t="b">
        <f ca="1">IFERROR(__xludf.DUMMYFUNCTION("if($G364="""",false, if(isna(match(N$2, split($G364:$G383,"", "",False),0)),false,true))"),FALSE)</f>
        <v>0</v>
      </c>
      <c r="O364" s="53" t="b">
        <f ca="1">IFERROR(__xludf.DUMMYFUNCTION("if($G364="""",false, if(isna(match(O$2, split($G364:$G383,"", "",False),0)),false,true))"),TRUE)</f>
        <v>1</v>
      </c>
      <c r="P364" s="53" t="b">
        <f ca="1">IFERROR(__xludf.DUMMYFUNCTION("if($G364="""",false, if(isna(match(P$2, split($G364:$G383,"", "",False),0)),false,true))"),FALSE)</f>
        <v>0</v>
      </c>
      <c r="Q364" s="53" t="b">
        <f ca="1">IFERROR(__xludf.DUMMYFUNCTION("if($G364="""",false, if(isna(match(Q$2, split($G364:$G383,"", "",False),0)),false,true))"),FALSE)</f>
        <v>0</v>
      </c>
      <c r="R364" s="53" t="b">
        <f ca="1">IFERROR(__xludf.DUMMYFUNCTION("if($G364="""",false, if(isna(match(R$2, split($G364:$G383,"", "",False),0)),false,true))"),FALSE)</f>
        <v>0</v>
      </c>
      <c r="S364" s="53" t="b">
        <f ca="1">IFERROR(__xludf.DUMMYFUNCTION("if($G364="""",false, if(isna(match(S$2, split($G364:$G383,"", "",False),0)),false,true))"),FALSE)</f>
        <v>0</v>
      </c>
      <c r="T364" s="53" t="b">
        <f ca="1">IFERROR(__xludf.DUMMYFUNCTION("if($G364="""",false, if(isna(match(T$2, split($G364:$G383,"", "",False),0)),false,true))"),FALSE)</f>
        <v>0</v>
      </c>
      <c r="U364" s="53" t="b">
        <f ca="1">IFERROR(__xludf.DUMMYFUNCTION("if($G364="""",false, if(isna(match(U$2, split($G364:$G383,"", "",False),0)),false,true))"),FALSE)</f>
        <v>0</v>
      </c>
      <c r="V364" s="53" t="b">
        <f ca="1">IFERROR(__xludf.DUMMYFUNCTION("if($G364="""",false, if(isna(match(V$2, split($G364:$G383,"", "",False),0)),false,true))"),FALSE)</f>
        <v>0</v>
      </c>
      <c r="W364" s="57" t="b">
        <f ca="1">IFERROR(__xludf.DUMMYFUNCTION("if($G364="""",false, if(isna(match(W$2, split($G364:$G383,"", "",False),0)),false,true))"),FALSE)</f>
        <v>0</v>
      </c>
    </row>
    <row r="365" spans="1:23" ht="56">
      <c r="A365" s="47" t="s">
        <v>1010</v>
      </c>
      <c r="B365" s="47" t="s">
        <v>63</v>
      </c>
      <c r="C365" s="49" t="s">
        <v>970</v>
      </c>
      <c r="D365" s="52" t="s">
        <v>991</v>
      </c>
      <c r="E365" s="49" t="s">
        <v>101</v>
      </c>
      <c r="F365" s="52" t="s">
        <v>1011</v>
      </c>
      <c r="G365" s="59" t="s">
        <v>120</v>
      </c>
      <c r="H365" s="53" t="b">
        <f ca="1">IFERROR(__xludf.DUMMYFUNCTION("if($G365="""",false, if(isna(match(H$2, split($G365:$G383,"", "",False),0)),false,true))"),FALSE)</f>
        <v>0</v>
      </c>
      <c r="I365" s="53" t="b">
        <f ca="1">IFERROR(__xludf.DUMMYFUNCTION("if($G365="""",false, if(isna(match(I$2, split($G365:$G383,"", "",False),0)),false,true))"),FALSE)</f>
        <v>0</v>
      </c>
      <c r="J365" s="53" t="b">
        <f ca="1">IFERROR(__xludf.DUMMYFUNCTION("if($G365="""",false, if(isna(match(J$2, split($G365:$G383,"", "",False),0)),false,true))"),FALSE)</f>
        <v>0</v>
      </c>
      <c r="K365" s="53" t="b">
        <f ca="1">IFERROR(__xludf.DUMMYFUNCTION("if($G365="""",false, if(isna(match(K$2, split($G365:$G383,"", "",False),0)),false,true))"),FALSE)</f>
        <v>0</v>
      </c>
      <c r="L365" s="53" t="b">
        <f ca="1">IFERROR(__xludf.DUMMYFUNCTION("if($G365="""",false, if(isna(match(L$2, split($G365:$G383,"", "",False),0)),false,true))"),FALSE)</f>
        <v>0</v>
      </c>
      <c r="M365" s="53" t="b">
        <f ca="1">IFERROR(__xludf.DUMMYFUNCTION("if($G365="""",false, if(isna(match(M$2, split($G365:$G383,"", "",False),0)),false,true))"),FALSE)</f>
        <v>0</v>
      </c>
      <c r="N365" s="53" t="b">
        <f ca="1">IFERROR(__xludf.DUMMYFUNCTION("if($G365="""",false, if(isna(match(N$2, split($G365:$G383,"", "",False),0)),false,true))"),FALSE)</f>
        <v>0</v>
      </c>
      <c r="O365" s="53" t="b">
        <f ca="1">IFERROR(__xludf.DUMMYFUNCTION("if($G365="""",false, if(isna(match(O$2, split($G365:$G383,"", "",False),0)),false,true))"),FALSE)</f>
        <v>0</v>
      </c>
      <c r="P365" s="53" t="b">
        <f ca="1">IFERROR(__xludf.DUMMYFUNCTION("if($G365="""",false, if(isna(match(P$2, split($G365:$G383,"", "",False),0)),false,true))"),FALSE)</f>
        <v>0</v>
      </c>
      <c r="Q365" s="53" t="b">
        <f ca="1">IFERROR(__xludf.DUMMYFUNCTION("if($G365="""",false, if(isna(match(Q$2, split($G365:$G383,"", "",False),0)),false,true))"),FALSE)</f>
        <v>0</v>
      </c>
      <c r="R365" s="53" t="b">
        <f ca="1">IFERROR(__xludf.DUMMYFUNCTION("if($G365="""",false, if(isna(match(R$2, split($G365:$G383,"", "",False),0)),false,true))"),FALSE)</f>
        <v>0</v>
      </c>
      <c r="S365" s="53" t="b">
        <f ca="1">IFERROR(__xludf.DUMMYFUNCTION("if($G365="""",false, if(isna(match(S$2, split($G365:$G383,"", "",False),0)),false,true))"),FALSE)</f>
        <v>0</v>
      </c>
      <c r="T365" s="53" t="b">
        <f ca="1">IFERROR(__xludf.DUMMYFUNCTION("if($G365="""",false, if(isna(match(T$2, split($G365:$G383,"", "",False),0)),false,true))"),TRUE)</f>
        <v>1</v>
      </c>
      <c r="U365" s="53" t="b">
        <f ca="1">IFERROR(__xludf.DUMMYFUNCTION("if($G365="""",false, if(isna(match(U$2, split($G365:$G383,"", "",False),0)),false,true))"),FALSE)</f>
        <v>0</v>
      </c>
      <c r="V365" s="53" t="b">
        <f ca="1">IFERROR(__xludf.DUMMYFUNCTION("if($G365="""",false, if(isna(match(V$2, split($G365:$G383,"", "",False),0)),false,true))"),FALSE)</f>
        <v>0</v>
      </c>
      <c r="W365" s="57" t="b">
        <f ca="1">IFERROR(__xludf.DUMMYFUNCTION("if($G365="""",false, if(isna(match(W$2, split($G365:$G383,"", "",False),0)),false,true))"),FALSE)</f>
        <v>0</v>
      </c>
    </row>
    <row r="366" spans="1:23" ht="28">
      <c r="A366" s="47" t="s">
        <v>1012</v>
      </c>
      <c r="B366" s="47" t="s">
        <v>63</v>
      </c>
      <c r="C366" s="49" t="s">
        <v>970</v>
      </c>
      <c r="D366" s="52" t="s">
        <v>991</v>
      </c>
      <c r="E366" s="49" t="s">
        <v>101</v>
      </c>
      <c r="F366" s="52" t="s">
        <v>1013</v>
      </c>
      <c r="G366" s="59" t="s">
        <v>1014</v>
      </c>
      <c r="H366" s="53" t="b">
        <f ca="1">IFERROR(__xludf.DUMMYFUNCTION("if($G366="""",false, if(isna(match(H$2, split($G366:$G383,"", "",False),0)),false,true))"),FALSE)</f>
        <v>0</v>
      </c>
      <c r="I366" s="53" t="b">
        <f ca="1">IFERROR(__xludf.DUMMYFUNCTION("if($G366="""",false, if(isna(match(I$2, split($G366:$G383,"", "",False),0)),false,true))"),FALSE)</f>
        <v>0</v>
      </c>
      <c r="J366" s="53" t="b">
        <f ca="1">IFERROR(__xludf.DUMMYFUNCTION("if($G366="""",false, if(isna(match(J$2, split($G366:$G383,"", "",False),0)),false,true))"),FALSE)</f>
        <v>0</v>
      </c>
      <c r="K366" s="53" t="b">
        <f ca="1">IFERROR(__xludf.DUMMYFUNCTION("if($G366="""",false, if(isna(match(K$2, split($G366:$G383,"", "",False),0)),false,true))"),FALSE)</f>
        <v>0</v>
      </c>
      <c r="L366" s="53" t="b">
        <f ca="1">IFERROR(__xludf.DUMMYFUNCTION("if($G366="""",false, if(isna(match(L$2, split($G366:$G383,"", "",False),0)),false,true))"),FALSE)</f>
        <v>0</v>
      </c>
      <c r="M366" s="53" t="b">
        <f ca="1">IFERROR(__xludf.DUMMYFUNCTION("if($G366="""",false, if(isna(match(M$2, split($G366:$G383,"", "",False),0)),false,true))"),FALSE)</f>
        <v>0</v>
      </c>
      <c r="N366" s="53" t="b">
        <f ca="1">IFERROR(__xludf.DUMMYFUNCTION("if($G366="""",false, if(isna(match(N$2, split($G366:$G383,"", "",False),0)),false,true))"),FALSE)</f>
        <v>0</v>
      </c>
      <c r="O366" s="53" t="b">
        <f ca="1">IFERROR(__xludf.DUMMYFUNCTION("if($G366="""",false, if(isna(match(O$2, split($G366:$G383,"", "",False),0)),false,true))"),FALSE)</f>
        <v>0</v>
      </c>
      <c r="P366" s="53" t="b">
        <f ca="1">IFERROR(__xludf.DUMMYFUNCTION("if($G366="""",false, if(isna(match(P$2, split($G366:$G383,"", "",False),0)),false,true))"),TRUE)</f>
        <v>1</v>
      </c>
      <c r="Q366" s="53" t="b">
        <f ca="1">IFERROR(__xludf.DUMMYFUNCTION("if($G366="""",false, if(isna(match(Q$2, split($G366:$G383,"", "",False),0)),false,true))"),FALSE)</f>
        <v>0</v>
      </c>
      <c r="R366" s="53" t="b">
        <f ca="1">IFERROR(__xludf.DUMMYFUNCTION("if($G366="""",false, if(isna(match(R$2, split($G366:$G383,"", "",False),0)),false,true))"),TRUE)</f>
        <v>1</v>
      </c>
      <c r="S366" s="53" t="b">
        <f ca="1">IFERROR(__xludf.DUMMYFUNCTION("if($G366="""",false, if(isna(match(S$2, split($G366:$G383,"", "",False),0)),false,true))"),TRUE)</f>
        <v>1</v>
      </c>
      <c r="T366" s="53" t="b">
        <f ca="1">IFERROR(__xludf.DUMMYFUNCTION("if($G366="""",false, if(isna(match(T$2, split($G366:$G383,"", "",False),0)),false,true))"),FALSE)</f>
        <v>0</v>
      </c>
      <c r="U366" s="53" t="b">
        <f ca="1">IFERROR(__xludf.DUMMYFUNCTION("if($G366="""",false, if(isna(match(U$2, split($G366:$G383,"", "",False),0)),false,true))"),FALSE)</f>
        <v>0</v>
      </c>
      <c r="V366" s="53" t="b">
        <f ca="1">IFERROR(__xludf.DUMMYFUNCTION("if($G366="""",false, if(isna(match(V$2, split($G366:$G383,"", "",False),0)),false,true))"),FALSE)</f>
        <v>0</v>
      </c>
      <c r="W366" s="57" t="b">
        <f ca="1">IFERROR(__xludf.DUMMYFUNCTION("if($G366="""",false, if(isna(match(W$2, split($G366:$G383,"", "",False),0)),false,true))"),FALSE)</f>
        <v>0</v>
      </c>
    </row>
    <row r="367" spans="1:23" ht="28">
      <c r="A367" s="47" t="s">
        <v>1015</v>
      </c>
      <c r="B367" s="47" t="s">
        <v>63</v>
      </c>
      <c r="C367" s="49" t="s">
        <v>970</v>
      </c>
      <c r="D367" s="52" t="s">
        <v>991</v>
      </c>
      <c r="E367" s="49" t="s">
        <v>101</v>
      </c>
      <c r="F367" s="52" t="s">
        <v>1016</v>
      </c>
      <c r="G367" s="59" t="s">
        <v>782</v>
      </c>
      <c r="H367" s="53" t="b">
        <f ca="1">IFERROR(__xludf.DUMMYFUNCTION("if($G367="""",false, if(isna(match(H$2, split($G367:$G383,"", "",False),0)),false,true))"),FALSE)</f>
        <v>0</v>
      </c>
      <c r="I367" s="53" t="b">
        <f ca="1">IFERROR(__xludf.DUMMYFUNCTION("if($G367="""",false, if(isna(match(I$2, split($G367:$G383,"", "",False),0)),false,true))"),FALSE)</f>
        <v>0</v>
      </c>
      <c r="J367" s="53" t="b">
        <f ca="1">IFERROR(__xludf.DUMMYFUNCTION("if($G367="""",false, if(isna(match(J$2, split($G367:$G383,"", "",False),0)),false,true))"),FALSE)</f>
        <v>0</v>
      </c>
      <c r="K367" s="53" t="b">
        <f ca="1">IFERROR(__xludf.DUMMYFUNCTION("if($G367="""",false, if(isna(match(K$2, split($G367:$G383,"", "",False),0)),false,true))"),FALSE)</f>
        <v>0</v>
      </c>
      <c r="L367" s="53" t="b">
        <f ca="1">IFERROR(__xludf.DUMMYFUNCTION("if($G367="""",false, if(isna(match(L$2, split($G367:$G383,"", "",False),0)),false,true))"),FALSE)</f>
        <v>0</v>
      </c>
      <c r="M367" s="53" t="b">
        <f ca="1">IFERROR(__xludf.DUMMYFUNCTION("if($G367="""",false, if(isna(match(M$2, split($G367:$G383,"", "",False),0)),false,true))"),FALSE)</f>
        <v>0</v>
      </c>
      <c r="N367" s="53" t="b">
        <f ca="1">IFERROR(__xludf.DUMMYFUNCTION("if($G367="""",false, if(isna(match(N$2, split($G367:$G383,"", "",False),0)),false,true))"),FALSE)</f>
        <v>0</v>
      </c>
      <c r="O367" s="53" t="b">
        <f ca="1">IFERROR(__xludf.DUMMYFUNCTION("if($G367="""",false, if(isna(match(O$2, split($G367:$G383,"", "",False),0)),false,true))"),FALSE)</f>
        <v>0</v>
      </c>
      <c r="P367" s="53" t="b">
        <f ca="1">IFERROR(__xludf.DUMMYFUNCTION("if($G367="""",false, if(isna(match(P$2, split($G367:$G383,"", "",False),0)),false,true))"),FALSE)</f>
        <v>0</v>
      </c>
      <c r="Q367" s="53" t="b">
        <f ca="1">IFERROR(__xludf.DUMMYFUNCTION("if($G367="""",false, if(isna(match(Q$2, split($G367:$G383,"", "",False),0)),false,true))"),TRUE)</f>
        <v>1</v>
      </c>
      <c r="R367" s="53" t="b">
        <f ca="1">IFERROR(__xludf.DUMMYFUNCTION("if($G367="""",false, if(isna(match(R$2, split($G367:$G383,"", "",False),0)),false,true))"),FALSE)</f>
        <v>0</v>
      </c>
      <c r="S367" s="53" t="b">
        <f ca="1">IFERROR(__xludf.DUMMYFUNCTION("if($G367="""",false, if(isna(match(S$2, split($G367:$G383,"", "",False),0)),false,true))"),FALSE)</f>
        <v>0</v>
      </c>
      <c r="T367" s="53" t="b">
        <f ca="1">IFERROR(__xludf.DUMMYFUNCTION("if($G367="""",false, if(isna(match(T$2, split($G367:$G383,"", "",False),0)),false,true))"),TRUE)</f>
        <v>1</v>
      </c>
      <c r="U367" s="53" t="b">
        <f ca="1">IFERROR(__xludf.DUMMYFUNCTION("if($G367="""",false, if(isna(match(U$2, split($G367:$G383,"", "",False),0)),false,true))"),FALSE)</f>
        <v>0</v>
      </c>
      <c r="V367" s="53" t="b">
        <f ca="1">IFERROR(__xludf.DUMMYFUNCTION("if($G367="""",false, if(isna(match(V$2, split($G367:$G383,"", "",False),0)),false,true))"),FALSE)</f>
        <v>0</v>
      </c>
      <c r="W367" s="57" t="b">
        <f ca="1">IFERROR(__xludf.DUMMYFUNCTION("if($G367="""",false, if(isna(match(W$2, split($G367:$G383,"", "",False),0)),false,true))"),FALSE)</f>
        <v>0</v>
      </c>
    </row>
    <row r="368" spans="1:23" ht="42">
      <c r="A368" s="47" t="s">
        <v>1017</v>
      </c>
      <c r="B368" s="47" t="s">
        <v>63</v>
      </c>
      <c r="C368" s="49" t="s">
        <v>970</v>
      </c>
      <c r="D368" s="52" t="s">
        <v>1018</v>
      </c>
      <c r="E368" s="49" t="s">
        <v>1019</v>
      </c>
      <c r="F368" s="52" t="s">
        <v>1020</v>
      </c>
      <c r="G368" s="59" t="s">
        <v>197</v>
      </c>
      <c r="H368" s="53" t="b">
        <f ca="1">IFERROR(__xludf.DUMMYFUNCTION("if($G368="""",false, if(isna(match(H$2, split($G368:$G383,"", "",False),0)),false,true))"),FALSE)</f>
        <v>0</v>
      </c>
      <c r="I368" s="53" t="b">
        <f ca="1">IFERROR(__xludf.DUMMYFUNCTION("if($G368="""",false, if(isna(match(I$2, split($G368:$G383,"", "",False),0)),false,true))"),FALSE)</f>
        <v>0</v>
      </c>
      <c r="J368" s="53" t="b">
        <f ca="1">IFERROR(__xludf.DUMMYFUNCTION("if($G368="""",false, if(isna(match(J$2, split($G368:$G383,"", "",False),0)),false,true))"),FALSE)</f>
        <v>0</v>
      </c>
      <c r="K368" s="53" t="b">
        <f ca="1">IFERROR(__xludf.DUMMYFUNCTION("if($G368="""",false, if(isna(match(K$2, split($G368:$G383,"", "",False),0)),false,true))"),FALSE)</f>
        <v>0</v>
      </c>
      <c r="L368" s="53" t="b">
        <f ca="1">IFERROR(__xludf.DUMMYFUNCTION("if($G368="""",false, if(isna(match(L$2, split($G368:$G383,"", "",False),0)),false,true))"),FALSE)</f>
        <v>0</v>
      </c>
      <c r="M368" s="53" t="b">
        <f ca="1">IFERROR(__xludf.DUMMYFUNCTION("if($G368="""",false, if(isna(match(M$2, split($G368:$G383,"", "",False),0)),false,true))"),FALSE)</f>
        <v>0</v>
      </c>
      <c r="N368" s="53" t="b">
        <f ca="1">IFERROR(__xludf.DUMMYFUNCTION("if($G368="""",false, if(isna(match(N$2, split($G368:$G383,"", "",False),0)),false,true))"),FALSE)</f>
        <v>0</v>
      </c>
      <c r="O368" s="53" t="b">
        <f ca="1">IFERROR(__xludf.DUMMYFUNCTION("if($G368="""",false, if(isna(match(O$2, split($G368:$G383,"", "",False),0)),false,true))"),FALSE)</f>
        <v>0</v>
      </c>
      <c r="P368" s="53" t="b">
        <f ca="1">IFERROR(__xludf.DUMMYFUNCTION("if($G368="""",false, if(isna(match(P$2, split($G368:$G383,"", "",False),0)),false,true))"),FALSE)</f>
        <v>0</v>
      </c>
      <c r="Q368" s="53" t="b">
        <f ca="1">IFERROR(__xludf.DUMMYFUNCTION("if($G368="""",false, if(isna(match(Q$2, split($G368:$G383,"", "",False),0)),false,true))"),FALSE)</f>
        <v>0</v>
      </c>
      <c r="R368" s="53" t="b">
        <f ca="1">IFERROR(__xludf.DUMMYFUNCTION("if($G368="""",false, if(isna(match(R$2, split($G368:$G383,"", "",False),0)),false,true))"),FALSE)</f>
        <v>0</v>
      </c>
      <c r="S368" s="53" t="b">
        <f ca="1">IFERROR(__xludf.DUMMYFUNCTION("if($G368="""",false, if(isna(match(S$2, split($G368:$G383,"", "",False),0)),false,true))"),FALSE)</f>
        <v>0</v>
      </c>
      <c r="T368" s="53" t="b">
        <f ca="1">IFERROR(__xludf.DUMMYFUNCTION("if($G368="""",false, if(isna(match(T$2, split($G368:$G383,"", "",False),0)),false,true))"),FALSE)</f>
        <v>0</v>
      </c>
      <c r="U368" s="53" t="b">
        <f ca="1">IFERROR(__xludf.DUMMYFUNCTION("if($G368="""",false, if(isna(match(U$2, split($G368:$G383,"", "",False),0)),false,true))"),FALSE)</f>
        <v>0</v>
      </c>
      <c r="V368" s="53" t="b">
        <f ca="1">IFERROR(__xludf.DUMMYFUNCTION("if($G368="""",false, if(isna(match(V$2, split($G368:$G383,"", "",False),0)),false,true))"),FALSE)</f>
        <v>0</v>
      </c>
      <c r="W368" s="57" t="b">
        <f ca="1">IFERROR(__xludf.DUMMYFUNCTION("if($G368="""",false, if(isna(match(W$2, split($G368:$G383,"", "",False),0)),false,true))"),FALSE)</f>
        <v>0</v>
      </c>
    </row>
    <row r="369" spans="1:23" ht="14">
      <c r="A369" s="47" t="s">
        <v>1021</v>
      </c>
      <c r="B369" s="47" t="s">
        <v>63</v>
      </c>
      <c r="C369" s="49" t="s">
        <v>970</v>
      </c>
      <c r="D369" s="52" t="s">
        <v>1018</v>
      </c>
      <c r="E369" s="49" t="s">
        <v>1019</v>
      </c>
      <c r="F369" s="52" t="s">
        <v>1022</v>
      </c>
      <c r="G369" s="59" t="s">
        <v>189</v>
      </c>
      <c r="H369" s="53" t="b">
        <f ca="1">IFERROR(__xludf.DUMMYFUNCTION("if($G369="""",false, if(isna(match(H$2, split($G369:$G383,"", "",False),0)),false,true))"),FALSE)</f>
        <v>0</v>
      </c>
      <c r="I369" s="53" t="b">
        <f ca="1">IFERROR(__xludf.DUMMYFUNCTION("if($G369="""",false, if(isna(match(I$2, split($G369:$G383,"", "",False),0)),false,true))"),FALSE)</f>
        <v>0</v>
      </c>
      <c r="J369" s="53" t="b">
        <f ca="1">IFERROR(__xludf.DUMMYFUNCTION("if($G369="""",false, if(isna(match(J$2, split($G369:$G383,"", "",False),0)),false,true))"),FALSE)</f>
        <v>0</v>
      </c>
      <c r="K369" s="53" t="b">
        <f ca="1">IFERROR(__xludf.DUMMYFUNCTION("if($G369="""",false, if(isna(match(K$2, split($G369:$G383,"", "",False),0)),false,true))"),FALSE)</f>
        <v>0</v>
      </c>
      <c r="L369" s="53" t="b">
        <f ca="1">IFERROR(__xludf.DUMMYFUNCTION("if($G369="""",false, if(isna(match(L$2, split($G369:$G383,"", "",False),0)),false,true))"),FALSE)</f>
        <v>0</v>
      </c>
      <c r="M369" s="53" t="b">
        <f ca="1">IFERROR(__xludf.DUMMYFUNCTION("if($G369="""",false, if(isna(match(M$2, split($G369:$G383,"", "",False),0)),false,true))"),FALSE)</f>
        <v>0</v>
      </c>
      <c r="N369" s="53" t="b">
        <f ca="1">IFERROR(__xludf.DUMMYFUNCTION("if($G369="""",false, if(isna(match(N$2, split($G369:$G383,"", "",False),0)),false,true))"),FALSE)</f>
        <v>0</v>
      </c>
      <c r="O369" s="53" t="b">
        <f ca="1">IFERROR(__xludf.DUMMYFUNCTION("if($G369="""",false, if(isna(match(O$2, split($G369:$G383,"", "",False),0)),false,true))"),FALSE)</f>
        <v>0</v>
      </c>
      <c r="P369" s="53" t="b">
        <f ca="1">IFERROR(__xludf.DUMMYFUNCTION("if($G369="""",false, if(isna(match(P$2, split($G369:$G383,"", "",False),0)),false,true))"),TRUE)</f>
        <v>1</v>
      </c>
      <c r="Q369" s="53" t="b">
        <f ca="1">IFERROR(__xludf.DUMMYFUNCTION("if($G369="""",false, if(isna(match(Q$2, split($G369:$G383,"", "",False),0)),false,true))"),FALSE)</f>
        <v>0</v>
      </c>
      <c r="R369" s="53" t="b">
        <f ca="1">IFERROR(__xludf.DUMMYFUNCTION("if($G369="""",false, if(isna(match(R$2, split($G369:$G383,"", "",False),0)),false,true))"),TRUE)</f>
        <v>1</v>
      </c>
      <c r="S369" s="53" t="b">
        <f ca="1">IFERROR(__xludf.DUMMYFUNCTION("if($G369="""",false, if(isna(match(S$2, split($G369:$G383,"", "",False),0)),false,true))"),FALSE)</f>
        <v>0</v>
      </c>
      <c r="T369" s="53" t="b">
        <f ca="1">IFERROR(__xludf.DUMMYFUNCTION("if($G369="""",false, if(isna(match(T$2, split($G369:$G383,"", "",False),0)),false,true))"),FALSE)</f>
        <v>0</v>
      </c>
      <c r="U369" s="53" t="b">
        <f ca="1">IFERROR(__xludf.DUMMYFUNCTION("if($G369="""",false, if(isna(match(U$2, split($G369:$G383,"", "",False),0)),false,true))"),FALSE)</f>
        <v>0</v>
      </c>
      <c r="V369" s="53" t="b">
        <f ca="1">IFERROR(__xludf.DUMMYFUNCTION("if($G369="""",false, if(isna(match(V$2, split($G369:$G383,"", "",False),0)),false,true))"),FALSE)</f>
        <v>0</v>
      </c>
      <c r="W369" s="57" t="b">
        <f ca="1">IFERROR(__xludf.DUMMYFUNCTION("if($G369="""",false, if(isna(match(W$2, split($G369:$G383,"", "",False),0)),false,true))"),FALSE)</f>
        <v>0</v>
      </c>
    </row>
    <row r="370" spans="1:23" ht="70">
      <c r="A370" s="47" t="s">
        <v>1023</v>
      </c>
      <c r="B370" s="47" t="s">
        <v>63</v>
      </c>
      <c r="C370" s="49" t="s">
        <v>970</v>
      </c>
      <c r="D370" s="52" t="s">
        <v>1018</v>
      </c>
      <c r="E370" s="49" t="s">
        <v>1019</v>
      </c>
      <c r="F370" s="52" t="s">
        <v>1024</v>
      </c>
      <c r="G370" s="59" t="s">
        <v>116</v>
      </c>
      <c r="H370" s="53" t="b">
        <f ca="1">IFERROR(__xludf.DUMMYFUNCTION("if($G370="""",false, if(isna(match(H$2, split($G370:$G383,"", "",False),0)),false,true))"),FALSE)</f>
        <v>0</v>
      </c>
      <c r="I370" s="53" t="b">
        <f ca="1">IFERROR(__xludf.DUMMYFUNCTION("if($G370="""",false, if(isna(match(I$2, split($G370:$G383,"", "",False),0)),false,true))"),FALSE)</f>
        <v>0</v>
      </c>
      <c r="J370" s="53" t="b">
        <f ca="1">IFERROR(__xludf.DUMMYFUNCTION("if($G370="""",false, if(isna(match(J$2, split($G370:$G383,"", "",False),0)),false,true))"),FALSE)</f>
        <v>0</v>
      </c>
      <c r="K370" s="53" t="b">
        <f ca="1">IFERROR(__xludf.DUMMYFUNCTION("if($G370="""",false, if(isna(match(K$2, split($G370:$G383,"", "",False),0)),false,true))"),FALSE)</f>
        <v>0</v>
      </c>
      <c r="L370" s="53" t="b">
        <f ca="1">IFERROR(__xludf.DUMMYFUNCTION("if($G370="""",false, if(isna(match(L$2, split($G370:$G383,"", "",False),0)),false,true))"),FALSE)</f>
        <v>0</v>
      </c>
      <c r="M370" s="53" t="b">
        <f ca="1">IFERROR(__xludf.DUMMYFUNCTION("if($G370="""",false, if(isna(match(M$2, split($G370:$G383,"", "",False),0)),false,true))"),FALSE)</f>
        <v>0</v>
      </c>
      <c r="N370" s="53" t="b">
        <f ca="1">IFERROR(__xludf.DUMMYFUNCTION("if($G370="""",false, if(isna(match(N$2, split($G370:$G383,"", "",False),0)),false,true))"),FALSE)</f>
        <v>0</v>
      </c>
      <c r="O370" s="53" t="b">
        <f ca="1">IFERROR(__xludf.DUMMYFUNCTION("if($G370="""",false, if(isna(match(O$2, split($G370:$G383,"", "",False),0)),false,true))"),FALSE)</f>
        <v>0</v>
      </c>
      <c r="P370" s="53" t="b">
        <f ca="1">IFERROR(__xludf.DUMMYFUNCTION("if($G370="""",false, if(isna(match(P$2, split($G370:$G383,"", "",False),0)),false,true))"),TRUE)</f>
        <v>1</v>
      </c>
      <c r="Q370" s="53" t="b">
        <f ca="1">IFERROR(__xludf.DUMMYFUNCTION("if($G370="""",false, if(isna(match(Q$2, split($G370:$G383,"", "",False),0)),false,true))"),FALSE)</f>
        <v>0</v>
      </c>
      <c r="R370" s="53" t="b">
        <f ca="1">IFERROR(__xludf.DUMMYFUNCTION("if($G370="""",false, if(isna(match(R$2, split($G370:$G383,"", "",False),0)),false,true))"),FALSE)</f>
        <v>0</v>
      </c>
      <c r="S370" s="53" t="b">
        <f ca="1">IFERROR(__xludf.DUMMYFUNCTION("if($G370="""",false, if(isna(match(S$2, split($G370:$G383,"", "",False),0)),false,true))"),FALSE)</f>
        <v>0</v>
      </c>
      <c r="T370" s="53" t="b">
        <f ca="1">IFERROR(__xludf.DUMMYFUNCTION("if($G370="""",false, if(isna(match(T$2, split($G370:$G383,"", "",False),0)),false,true))"),FALSE)</f>
        <v>0</v>
      </c>
      <c r="U370" s="53" t="b">
        <f ca="1">IFERROR(__xludf.DUMMYFUNCTION("if($G370="""",false, if(isna(match(U$2, split($G370:$G383,"", "",False),0)),false,true))"),FALSE)</f>
        <v>0</v>
      </c>
      <c r="V370" s="53" t="b">
        <f ca="1">IFERROR(__xludf.DUMMYFUNCTION("if($G370="""",false, if(isna(match(V$2, split($G370:$G383,"", "",False),0)),false,true))"),FALSE)</f>
        <v>0</v>
      </c>
      <c r="W370" s="57" t="b">
        <f ca="1">IFERROR(__xludf.DUMMYFUNCTION("if($G370="""",false, if(isna(match(W$2, split($G370:$G383,"", "",False),0)),false,true))"),FALSE)</f>
        <v>0</v>
      </c>
    </row>
    <row r="371" spans="1:23" ht="14">
      <c r="A371" s="47" t="s">
        <v>1025</v>
      </c>
      <c r="B371" s="47" t="s">
        <v>63</v>
      </c>
      <c r="C371" s="49" t="s">
        <v>970</v>
      </c>
      <c r="D371" s="52" t="s">
        <v>1018</v>
      </c>
      <c r="E371" s="49" t="s">
        <v>820</v>
      </c>
      <c r="F371" s="52" t="s">
        <v>1026</v>
      </c>
      <c r="G371" s="59" t="s">
        <v>119</v>
      </c>
      <c r="H371" s="53" t="b">
        <f ca="1">IFERROR(__xludf.DUMMYFUNCTION("if($G371="""",false, if(isna(match(H$2, split($G371:$G383,"", "",False),0)),false,true))"),FALSE)</f>
        <v>0</v>
      </c>
      <c r="I371" s="53" t="b">
        <f ca="1">IFERROR(__xludf.DUMMYFUNCTION("if($G371="""",false, if(isna(match(I$2, split($G371:$G383,"", "",False),0)),false,true))"),FALSE)</f>
        <v>0</v>
      </c>
      <c r="J371" s="53" t="b">
        <f ca="1">IFERROR(__xludf.DUMMYFUNCTION("if($G371="""",false, if(isna(match(J$2, split($G371:$G383,"", "",False),0)),false,true))"),FALSE)</f>
        <v>0</v>
      </c>
      <c r="K371" s="53" t="b">
        <f ca="1">IFERROR(__xludf.DUMMYFUNCTION("if($G371="""",false, if(isna(match(K$2, split($G371:$G383,"", "",False),0)),false,true))"),FALSE)</f>
        <v>0</v>
      </c>
      <c r="L371" s="53" t="b">
        <f ca="1">IFERROR(__xludf.DUMMYFUNCTION("if($G371="""",false, if(isna(match(L$2, split($G371:$G383,"", "",False),0)),false,true))"),FALSE)</f>
        <v>0</v>
      </c>
      <c r="M371" s="53" t="b">
        <f ca="1">IFERROR(__xludf.DUMMYFUNCTION("if($G371="""",false, if(isna(match(M$2, split($G371:$G383,"", "",False),0)),false,true))"),FALSE)</f>
        <v>0</v>
      </c>
      <c r="N371" s="53" t="b">
        <f ca="1">IFERROR(__xludf.DUMMYFUNCTION("if($G371="""",false, if(isna(match(N$2, split($G371:$G383,"", "",False),0)),false,true))"),FALSE)</f>
        <v>0</v>
      </c>
      <c r="O371" s="53" t="b">
        <f ca="1">IFERROR(__xludf.DUMMYFUNCTION("if($G371="""",false, if(isna(match(O$2, split($G371:$G383,"", "",False),0)),false,true))"),FALSE)</f>
        <v>0</v>
      </c>
      <c r="P371" s="53" t="b">
        <f ca="1">IFERROR(__xludf.DUMMYFUNCTION("if($G371="""",false, if(isna(match(P$2, split($G371:$G383,"", "",False),0)),false,true))"),FALSE)</f>
        <v>0</v>
      </c>
      <c r="Q371" s="53" t="b">
        <f ca="1">IFERROR(__xludf.DUMMYFUNCTION("if($G371="""",false, if(isna(match(Q$2, split($G371:$G383,"", "",False),0)),false,true))"),FALSE)</f>
        <v>0</v>
      </c>
      <c r="R371" s="53" t="b">
        <f ca="1">IFERROR(__xludf.DUMMYFUNCTION("if($G371="""",false, if(isna(match(R$2, split($G371:$G383,"", "",False),0)),false,true))"),FALSE)</f>
        <v>0</v>
      </c>
      <c r="S371" s="53" t="b">
        <f ca="1">IFERROR(__xludf.DUMMYFUNCTION("if($G371="""",false, if(isna(match(S$2, split($G371:$G383,"", "",False),0)),false,true))"),TRUE)</f>
        <v>1</v>
      </c>
      <c r="T371" s="53" t="b">
        <f ca="1">IFERROR(__xludf.DUMMYFUNCTION("if($G371="""",false, if(isna(match(T$2, split($G371:$G383,"", "",False),0)),false,true))"),FALSE)</f>
        <v>0</v>
      </c>
      <c r="U371" s="53" t="b">
        <f ca="1">IFERROR(__xludf.DUMMYFUNCTION("if($G371="""",false, if(isna(match(U$2, split($G371:$G383,"", "",False),0)),false,true))"),FALSE)</f>
        <v>0</v>
      </c>
      <c r="V371" s="53" t="b">
        <f ca="1">IFERROR(__xludf.DUMMYFUNCTION("if($G371="""",false, if(isna(match(V$2, split($G371:$G383,"", "",False),0)),false,true))"),FALSE)</f>
        <v>0</v>
      </c>
      <c r="W371" s="57" t="b">
        <f ca="1">IFERROR(__xludf.DUMMYFUNCTION("if($G371="""",false, if(isna(match(W$2, split($G371:$G383,"", "",False),0)),false,true))"),FALSE)</f>
        <v>0</v>
      </c>
    </row>
    <row r="372" spans="1:23" ht="42">
      <c r="A372" s="47" t="s">
        <v>1027</v>
      </c>
      <c r="B372" s="47" t="s">
        <v>63</v>
      </c>
      <c r="C372" s="49" t="s">
        <v>970</v>
      </c>
      <c r="D372" s="52" t="s">
        <v>1018</v>
      </c>
      <c r="E372" s="49" t="s">
        <v>820</v>
      </c>
      <c r="F372" s="52" t="s">
        <v>1028</v>
      </c>
      <c r="G372" s="59" t="s">
        <v>535</v>
      </c>
      <c r="H372" s="53" t="b">
        <f ca="1">IFERROR(__xludf.DUMMYFUNCTION("if($G372="""",false, if(isna(match(H$2, split($G372:$G383,"", "",False),0)),false,true))"),FALSE)</f>
        <v>0</v>
      </c>
      <c r="I372" s="53" t="b">
        <f ca="1">IFERROR(__xludf.DUMMYFUNCTION("if($G372="""",false, if(isna(match(I$2, split($G372:$G383,"", "",False),0)),false,true))"),FALSE)</f>
        <v>0</v>
      </c>
      <c r="J372" s="53" t="b">
        <f ca="1">IFERROR(__xludf.DUMMYFUNCTION("if($G372="""",false, if(isna(match(J$2, split($G372:$G383,"", "",False),0)),false,true))"),FALSE)</f>
        <v>0</v>
      </c>
      <c r="K372" s="53" t="b">
        <f ca="1">IFERROR(__xludf.DUMMYFUNCTION("if($G372="""",false, if(isna(match(K$2, split($G372:$G383,"", "",False),0)),false,true))"),FALSE)</f>
        <v>0</v>
      </c>
      <c r="L372" s="53" t="b">
        <f ca="1">IFERROR(__xludf.DUMMYFUNCTION("if($G372="""",false, if(isna(match(L$2, split($G372:$G383,"", "",False),0)),false,true))"),FALSE)</f>
        <v>0</v>
      </c>
      <c r="M372" s="53" t="b">
        <f ca="1">IFERROR(__xludf.DUMMYFUNCTION("if($G372="""",false, if(isna(match(M$2, split($G372:$G383,"", "",False),0)),false,true))"),FALSE)</f>
        <v>0</v>
      </c>
      <c r="N372" s="53" t="b">
        <f ca="1">IFERROR(__xludf.DUMMYFUNCTION("if($G372="""",false, if(isna(match(N$2, split($G372:$G383,"", "",False),0)),false,true))"),FALSE)</f>
        <v>0</v>
      </c>
      <c r="O372" s="53" t="b">
        <f ca="1">IFERROR(__xludf.DUMMYFUNCTION("if($G372="""",false, if(isna(match(O$2, split($G372:$G383,"", "",False),0)),false,true))"),FALSE)</f>
        <v>0</v>
      </c>
      <c r="P372" s="53" t="b">
        <f ca="1">IFERROR(__xludf.DUMMYFUNCTION("if($G372="""",false, if(isna(match(P$2, split($G372:$G383,"", "",False),0)),false,true))"),FALSE)</f>
        <v>0</v>
      </c>
      <c r="Q372" s="53" t="b">
        <f ca="1">IFERROR(__xludf.DUMMYFUNCTION("if($G372="""",false, if(isna(match(Q$2, split($G372:$G383,"", "",False),0)),false,true))"),FALSE)</f>
        <v>0</v>
      </c>
      <c r="R372" s="53" t="b">
        <f ca="1">IFERROR(__xludf.DUMMYFUNCTION("if($G372="""",false, if(isna(match(R$2, split($G372:$G383,"", "",False),0)),false,true))"),FALSE)</f>
        <v>0</v>
      </c>
      <c r="S372" s="53" t="b">
        <f ca="1">IFERROR(__xludf.DUMMYFUNCTION("if($G372="""",false, if(isna(match(S$2, split($G372:$G383,"", "",False),0)),false,true))"),TRUE)</f>
        <v>1</v>
      </c>
      <c r="T372" s="53" t="b">
        <f ca="1">IFERROR(__xludf.DUMMYFUNCTION("if($G372="""",false, if(isna(match(T$2, split($G372:$G383,"", "",False),0)),false,true))"),FALSE)</f>
        <v>0</v>
      </c>
      <c r="U372" s="53" t="b">
        <f ca="1">IFERROR(__xludf.DUMMYFUNCTION("if($G372="""",false, if(isna(match(U$2, split($G372:$G383,"", "",False),0)),false,true))"),FALSE)</f>
        <v>0</v>
      </c>
      <c r="V372" s="53" t="b">
        <f ca="1">IFERROR(__xludf.DUMMYFUNCTION("if($G372="""",false, if(isna(match(V$2, split($G372:$G383,"", "",False),0)),false,true))"),FALSE)</f>
        <v>0</v>
      </c>
      <c r="W372" s="57" t="b">
        <f ca="1">IFERROR(__xludf.DUMMYFUNCTION("if($G372="""",false, if(isna(match(W$2, split($G372:$G383,"", "",False),0)),false,true))"),FALSE)</f>
        <v>0</v>
      </c>
    </row>
    <row r="373" spans="1:23" ht="14">
      <c r="A373" s="47" t="s">
        <v>1029</v>
      </c>
      <c r="B373" s="47" t="s">
        <v>63</v>
      </c>
      <c r="C373" s="49" t="s">
        <v>970</v>
      </c>
      <c r="D373" s="52" t="s">
        <v>1018</v>
      </c>
      <c r="E373" s="49" t="s">
        <v>820</v>
      </c>
      <c r="F373" s="52" t="s">
        <v>1030</v>
      </c>
      <c r="G373" s="59" t="s">
        <v>116</v>
      </c>
      <c r="H373" s="53" t="b">
        <f ca="1">IFERROR(__xludf.DUMMYFUNCTION("if($G373="""",false, if(isna(match(H$2, split($G373:$G383,"", "",False),0)),false,true))"),FALSE)</f>
        <v>0</v>
      </c>
      <c r="I373" s="53" t="b">
        <f ca="1">IFERROR(__xludf.DUMMYFUNCTION("if($G373="""",false, if(isna(match(I$2, split($G373:$G383,"", "",False),0)),false,true))"),FALSE)</f>
        <v>0</v>
      </c>
      <c r="J373" s="53" t="b">
        <f ca="1">IFERROR(__xludf.DUMMYFUNCTION("if($G373="""",false, if(isna(match(J$2, split($G373:$G383,"", "",False),0)),false,true))"),FALSE)</f>
        <v>0</v>
      </c>
      <c r="K373" s="53" t="b">
        <f ca="1">IFERROR(__xludf.DUMMYFUNCTION("if($G373="""",false, if(isna(match(K$2, split($G373:$G383,"", "",False),0)),false,true))"),FALSE)</f>
        <v>0</v>
      </c>
      <c r="L373" s="53" t="b">
        <f ca="1">IFERROR(__xludf.DUMMYFUNCTION("if($G373="""",false, if(isna(match(L$2, split($G373:$G383,"", "",False),0)),false,true))"),FALSE)</f>
        <v>0</v>
      </c>
      <c r="M373" s="53" t="b">
        <f ca="1">IFERROR(__xludf.DUMMYFUNCTION("if($G373="""",false, if(isna(match(M$2, split($G373:$G383,"", "",False),0)),false,true))"),FALSE)</f>
        <v>0</v>
      </c>
      <c r="N373" s="53" t="b">
        <f ca="1">IFERROR(__xludf.DUMMYFUNCTION("if($G373="""",false, if(isna(match(N$2, split($G373:$G383,"", "",False),0)),false,true))"),FALSE)</f>
        <v>0</v>
      </c>
      <c r="O373" s="53" t="b">
        <f ca="1">IFERROR(__xludf.DUMMYFUNCTION("if($G373="""",false, if(isna(match(O$2, split($G373:$G383,"", "",False),0)),false,true))"),FALSE)</f>
        <v>0</v>
      </c>
      <c r="P373" s="53" t="b">
        <f ca="1">IFERROR(__xludf.DUMMYFUNCTION("if($G373="""",false, if(isna(match(P$2, split($G373:$G383,"", "",False),0)),false,true))"),TRUE)</f>
        <v>1</v>
      </c>
      <c r="Q373" s="53" t="b">
        <f ca="1">IFERROR(__xludf.DUMMYFUNCTION("if($G373="""",false, if(isna(match(Q$2, split($G373:$G383,"", "",False),0)),false,true))"),FALSE)</f>
        <v>0</v>
      </c>
      <c r="R373" s="53" t="b">
        <f ca="1">IFERROR(__xludf.DUMMYFUNCTION("if($G373="""",false, if(isna(match(R$2, split($G373:$G383,"", "",False),0)),false,true))"),FALSE)</f>
        <v>0</v>
      </c>
      <c r="S373" s="53" t="b">
        <f ca="1">IFERROR(__xludf.DUMMYFUNCTION("if($G373="""",false, if(isna(match(S$2, split($G373:$G383,"", "",False),0)),false,true))"),FALSE)</f>
        <v>0</v>
      </c>
      <c r="T373" s="53" t="b">
        <f ca="1">IFERROR(__xludf.DUMMYFUNCTION("if($G373="""",false, if(isna(match(T$2, split($G373:$G383,"", "",False),0)),false,true))"),FALSE)</f>
        <v>0</v>
      </c>
      <c r="U373" s="53" t="b">
        <f ca="1">IFERROR(__xludf.DUMMYFUNCTION("if($G373="""",false, if(isna(match(U$2, split($G373:$G383,"", "",False),0)),false,true))"),FALSE)</f>
        <v>0</v>
      </c>
      <c r="V373" s="53" t="b">
        <f ca="1">IFERROR(__xludf.DUMMYFUNCTION("if($G373="""",false, if(isna(match(V$2, split($G373:$G383,"", "",False),0)),false,true))"),FALSE)</f>
        <v>0</v>
      </c>
      <c r="W373" s="57" t="b">
        <f ca="1">IFERROR(__xludf.DUMMYFUNCTION("if($G373="""",false, if(isna(match(W$2, split($G373:$G383,"", "",False),0)),false,true))"),FALSE)</f>
        <v>0</v>
      </c>
    </row>
    <row r="374" spans="1:23" ht="70">
      <c r="A374" s="47" t="s">
        <v>1031</v>
      </c>
      <c r="B374" s="47" t="s">
        <v>63</v>
      </c>
      <c r="C374" s="49" t="s">
        <v>970</v>
      </c>
      <c r="D374" s="52" t="s">
        <v>1018</v>
      </c>
      <c r="E374" s="49" t="s">
        <v>820</v>
      </c>
      <c r="F374" s="52" t="s">
        <v>1032</v>
      </c>
      <c r="G374" s="59" t="s">
        <v>119</v>
      </c>
      <c r="H374" s="53" t="b">
        <f ca="1">IFERROR(__xludf.DUMMYFUNCTION("if($G374="""",false, if(isna(match(H$2, split($G374:$G383,"", "",False),0)),false,true))"),FALSE)</f>
        <v>0</v>
      </c>
      <c r="I374" s="53" t="b">
        <f ca="1">IFERROR(__xludf.DUMMYFUNCTION("if($G374="""",false, if(isna(match(I$2, split($G374:$G383,"", "",False),0)),false,true))"),FALSE)</f>
        <v>0</v>
      </c>
      <c r="J374" s="53" t="b">
        <f ca="1">IFERROR(__xludf.DUMMYFUNCTION("if($G374="""",false, if(isna(match(J$2, split($G374:$G383,"", "",False),0)),false,true))"),FALSE)</f>
        <v>0</v>
      </c>
      <c r="K374" s="53" t="b">
        <f ca="1">IFERROR(__xludf.DUMMYFUNCTION("if($G374="""",false, if(isna(match(K$2, split($G374:$G383,"", "",False),0)),false,true))"),FALSE)</f>
        <v>0</v>
      </c>
      <c r="L374" s="53" t="b">
        <f ca="1">IFERROR(__xludf.DUMMYFUNCTION("if($G374="""",false, if(isna(match(L$2, split($G374:$G383,"", "",False),0)),false,true))"),FALSE)</f>
        <v>0</v>
      </c>
      <c r="M374" s="53" t="b">
        <f ca="1">IFERROR(__xludf.DUMMYFUNCTION("if($G374="""",false, if(isna(match(M$2, split($G374:$G383,"", "",False),0)),false,true))"),FALSE)</f>
        <v>0</v>
      </c>
      <c r="N374" s="53" t="b">
        <f ca="1">IFERROR(__xludf.DUMMYFUNCTION("if($G374="""",false, if(isna(match(N$2, split($G374:$G383,"", "",False),0)),false,true))"),FALSE)</f>
        <v>0</v>
      </c>
      <c r="O374" s="53" t="b">
        <f ca="1">IFERROR(__xludf.DUMMYFUNCTION("if($G374="""",false, if(isna(match(O$2, split($G374:$G383,"", "",False),0)),false,true))"),FALSE)</f>
        <v>0</v>
      </c>
      <c r="P374" s="53" t="b">
        <f ca="1">IFERROR(__xludf.DUMMYFUNCTION("if($G374="""",false, if(isna(match(P$2, split($G374:$G383,"", "",False),0)),false,true))"),FALSE)</f>
        <v>0</v>
      </c>
      <c r="Q374" s="53" t="b">
        <f ca="1">IFERROR(__xludf.DUMMYFUNCTION("if($G374="""",false, if(isna(match(Q$2, split($G374:$G383,"", "",False),0)),false,true))"),FALSE)</f>
        <v>0</v>
      </c>
      <c r="R374" s="53" t="b">
        <f ca="1">IFERROR(__xludf.DUMMYFUNCTION("if($G374="""",false, if(isna(match(R$2, split($G374:$G383,"", "",False),0)),false,true))"),FALSE)</f>
        <v>0</v>
      </c>
      <c r="S374" s="53" t="b">
        <f ca="1">IFERROR(__xludf.DUMMYFUNCTION("if($G374="""",false, if(isna(match(S$2, split($G374:$G383,"", "",False),0)),false,true))"),TRUE)</f>
        <v>1</v>
      </c>
      <c r="T374" s="53" t="b">
        <f ca="1">IFERROR(__xludf.DUMMYFUNCTION("if($G374="""",false, if(isna(match(T$2, split($G374:$G383,"", "",False),0)),false,true))"),FALSE)</f>
        <v>0</v>
      </c>
      <c r="U374" s="53" t="b">
        <f ca="1">IFERROR(__xludf.DUMMYFUNCTION("if($G374="""",false, if(isna(match(U$2, split($G374:$G383,"", "",False),0)),false,true))"),FALSE)</f>
        <v>0</v>
      </c>
      <c r="V374" s="53" t="b">
        <f ca="1">IFERROR(__xludf.DUMMYFUNCTION("if($G374="""",false, if(isna(match(V$2, split($G374:$G383,"", "",False),0)),false,true))"),FALSE)</f>
        <v>0</v>
      </c>
      <c r="W374" s="57" t="b">
        <f ca="1">IFERROR(__xludf.DUMMYFUNCTION("if($G374="""",false, if(isna(match(W$2, split($G374:$G383,"", "",False),0)),false,true))"),FALSE)</f>
        <v>0</v>
      </c>
    </row>
    <row r="375" spans="1:23" ht="14">
      <c r="A375" s="47" t="s">
        <v>1033</v>
      </c>
      <c r="B375" s="47" t="s">
        <v>63</v>
      </c>
      <c r="C375" s="49" t="s">
        <v>970</v>
      </c>
      <c r="D375" s="52" t="s">
        <v>1018</v>
      </c>
      <c r="E375" s="49" t="s">
        <v>820</v>
      </c>
      <c r="F375" s="52" t="s">
        <v>1034</v>
      </c>
      <c r="G375" s="59" t="s">
        <v>197</v>
      </c>
      <c r="H375" s="53" t="b">
        <f ca="1">IFERROR(__xludf.DUMMYFUNCTION("if($G375="""",false, if(isna(match(H$2, split($G375:$G383,"", "",False),0)),false,true))"),FALSE)</f>
        <v>0</v>
      </c>
      <c r="I375" s="53" t="b">
        <f ca="1">IFERROR(__xludf.DUMMYFUNCTION("if($G375="""",false, if(isna(match(I$2, split($G375:$G383,"", "",False),0)),false,true))"),FALSE)</f>
        <v>0</v>
      </c>
      <c r="J375" s="53" t="b">
        <f ca="1">IFERROR(__xludf.DUMMYFUNCTION("if($G375="""",false, if(isna(match(J$2, split($G375:$G383,"", "",False),0)),false,true))"),FALSE)</f>
        <v>0</v>
      </c>
      <c r="K375" s="53" t="b">
        <f ca="1">IFERROR(__xludf.DUMMYFUNCTION("if($G375="""",false, if(isna(match(K$2, split($G375:$G383,"", "",False),0)),false,true))"),FALSE)</f>
        <v>0</v>
      </c>
      <c r="L375" s="53" t="b">
        <f ca="1">IFERROR(__xludf.DUMMYFUNCTION("if($G375="""",false, if(isna(match(L$2, split($G375:$G383,"", "",False),0)),false,true))"),FALSE)</f>
        <v>0</v>
      </c>
      <c r="M375" s="53" t="b">
        <f ca="1">IFERROR(__xludf.DUMMYFUNCTION("if($G375="""",false, if(isna(match(M$2, split($G375:$G383,"", "",False),0)),false,true))"),FALSE)</f>
        <v>0</v>
      </c>
      <c r="N375" s="53" t="b">
        <f ca="1">IFERROR(__xludf.DUMMYFUNCTION("if($G375="""",false, if(isna(match(N$2, split($G375:$G383,"", "",False),0)),false,true))"),FALSE)</f>
        <v>0</v>
      </c>
      <c r="O375" s="53" t="b">
        <f ca="1">IFERROR(__xludf.DUMMYFUNCTION("if($G375="""",false, if(isna(match(O$2, split($G375:$G383,"", "",False),0)),false,true))"),FALSE)</f>
        <v>0</v>
      </c>
      <c r="P375" s="53" t="b">
        <f ca="1">IFERROR(__xludf.DUMMYFUNCTION("if($G375="""",false, if(isna(match(P$2, split($G375:$G383,"", "",False),0)),false,true))"),FALSE)</f>
        <v>0</v>
      </c>
      <c r="Q375" s="53" t="b">
        <f ca="1">IFERROR(__xludf.DUMMYFUNCTION("if($G375="""",false, if(isna(match(Q$2, split($G375:$G383,"", "",False),0)),false,true))"),FALSE)</f>
        <v>0</v>
      </c>
      <c r="R375" s="53" t="b">
        <f ca="1">IFERROR(__xludf.DUMMYFUNCTION("if($G375="""",false, if(isna(match(R$2, split($G375:$G383,"", "",False),0)),false,true))"),FALSE)</f>
        <v>0</v>
      </c>
      <c r="S375" s="53" t="b">
        <f ca="1">IFERROR(__xludf.DUMMYFUNCTION("if($G375="""",false, if(isna(match(S$2, split($G375:$G383,"", "",False),0)),false,true))"),FALSE)</f>
        <v>0</v>
      </c>
      <c r="T375" s="53" t="b">
        <f ca="1">IFERROR(__xludf.DUMMYFUNCTION("if($G375="""",false, if(isna(match(T$2, split($G375:$G383,"", "",False),0)),false,true))"),FALSE)</f>
        <v>0</v>
      </c>
      <c r="U375" s="53" t="b">
        <f ca="1">IFERROR(__xludf.DUMMYFUNCTION("if($G375="""",false, if(isna(match(U$2, split($G375:$G383,"", "",False),0)),false,true))"),FALSE)</f>
        <v>0</v>
      </c>
      <c r="V375" s="53" t="b">
        <f ca="1">IFERROR(__xludf.DUMMYFUNCTION("if($G375="""",false, if(isna(match(V$2, split($G375:$G383,"", "",False),0)),false,true))"),FALSE)</f>
        <v>0</v>
      </c>
      <c r="W375" s="57" t="b">
        <f ca="1">IFERROR(__xludf.DUMMYFUNCTION("if($G375="""",false, if(isna(match(W$2, split($G375:$G383,"", "",False),0)),false,true))"),FALSE)</f>
        <v>0</v>
      </c>
    </row>
    <row r="376" spans="1:23" ht="28">
      <c r="A376" s="47" t="s">
        <v>1035</v>
      </c>
      <c r="B376" s="47" t="s">
        <v>63</v>
      </c>
      <c r="C376" s="49" t="s">
        <v>970</v>
      </c>
      <c r="D376" s="52" t="s">
        <v>1036</v>
      </c>
      <c r="E376" s="49" t="s">
        <v>79</v>
      </c>
      <c r="F376" s="52" t="s">
        <v>1037</v>
      </c>
      <c r="G376" s="59" t="s">
        <v>109</v>
      </c>
      <c r="H376" s="53" t="b">
        <f ca="1">IFERROR(__xludf.DUMMYFUNCTION("if($G376="""",false, if(isna(match(H$2, split($G376:$G383,"", "",False),0)),false,true))"),FALSE)</f>
        <v>0</v>
      </c>
      <c r="I376" s="53" t="b">
        <f ca="1">IFERROR(__xludf.DUMMYFUNCTION("if($G376="""",false, if(isna(match(I$2, split($G376:$G383,"", "",False),0)),false,true))"),TRUE)</f>
        <v>1</v>
      </c>
      <c r="J376" s="53" t="b">
        <f ca="1">IFERROR(__xludf.DUMMYFUNCTION("if($G376="""",false, if(isna(match(J$2, split($G376:$G383,"", "",False),0)),false,true))"),FALSE)</f>
        <v>0</v>
      </c>
      <c r="K376" s="53" t="b">
        <f ca="1">IFERROR(__xludf.DUMMYFUNCTION("if($G376="""",false, if(isna(match(K$2, split($G376:$G383,"", "",False),0)),false,true))"),FALSE)</f>
        <v>0</v>
      </c>
      <c r="L376" s="53" t="b">
        <f ca="1">IFERROR(__xludf.DUMMYFUNCTION("if($G376="""",false, if(isna(match(L$2, split($G376:$G383,"", "",False),0)),false,true))"),FALSE)</f>
        <v>0</v>
      </c>
      <c r="M376" s="53" t="b">
        <f ca="1">IFERROR(__xludf.DUMMYFUNCTION("if($G376="""",false, if(isna(match(M$2, split($G376:$G383,"", "",False),0)),false,true))"),FALSE)</f>
        <v>0</v>
      </c>
      <c r="N376" s="53" t="b">
        <f ca="1">IFERROR(__xludf.DUMMYFUNCTION("if($G376="""",false, if(isna(match(N$2, split($G376:$G383,"", "",False),0)),false,true))"),FALSE)</f>
        <v>0</v>
      </c>
      <c r="O376" s="53" t="b">
        <f ca="1">IFERROR(__xludf.DUMMYFUNCTION("if($G376="""",false, if(isna(match(O$2, split($G376:$G383,"", "",False),0)),false,true))"),FALSE)</f>
        <v>0</v>
      </c>
      <c r="P376" s="53" t="b">
        <f ca="1">IFERROR(__xludf.DUMMYFUNCTION("if($G376="""",false, if(isna(match(P$2, split($G376:$G383,"", "",False),0)),false,true))"),FALSE)</f>
        <v>0</v>
      </c>
      <c r="Q376" s="53" t="b">
        <f ca="1">IFERROR(__xludf.DUMMYFUNCTION("if($G376="""",false, if(isna(match(Q$2, split($G376:$G383,"", "",False),0)),false,true))"),FALSE)</f>
        <v>0</v>
      </c>
      <c r="R376" s="53" t="b">
        <f ca="1">IFERROR(__xludf.DUMMYFUNCTION("if($G376="""",false, if(isna(match(R$2, split($G376:$G383,"", "",False),0)),false,true))"),FALSE)</f>
        <v>0</v>
      </c>
      <c r="S376" s="53" t="b">
        <f ca="1">IFERROR(__xludf.DUMMYFUNCTION("if($G376="""",false, if(isna(match(S$2, split($G376:$G383,"", "",False),0)),false,true))"),FALSE)</f>
        <v>0</v>
      </c>
      <c r="T376" s="53" t="b">
        <f ca="1">IFERROR(__xludf.DUMMYFUNCTION("if($G376="""",false, if(isna(match(T$2, split($G376:$G383,"", "",False),0)),false,true))"),FALSE)</f>
        <v>0</v>
      </c>
      <c r="U376" s="53" t="b">
        <f ca="1">IFERROR(__xludf.DUMMYFUNCTION("if($G376="""",false, if(isna(match(U$2, split($G376:$G383,"", "",False),0)),false,true))"),FALSE)</f>
        <v>0</v>
      </c>
      <c r="V376" s="53" t="b">
        <f ca="1">IFERROR(__xludf.DUMMYFUNCTION("if($G376="""",false, if(isna(match(V$2, split($G376:$G383,"", "",False),0)),false,true))"),FALSE)</f>
        <v>0</v>
      </c>
      <c r="W376" s="57" t="b">
        <f ca="1">IFERROR(__xludf.DUMMYFUNCTION("if($G376="""",false, if(isna(match(W$2, split($G376:$G383,"", "",False),0)),false,true))"),FALSE)</f>
        <v>0</v>
      </c>
    </row>
    <row r="377" spans="1:23" ht="14">
      <c r="A377" s="47" t="s">
        <v>1038</v>
      </c>
      <c r="B377" s="47" t="s">
        <v>63</v>
      </c>
      <c r="C377" s="49" t="s">
        <v>970</v>
      </c>
      <c r="D377" s="52" t="s">
        <v>1036</v>
      </c>
      <c r="E377" s="49" t="s">
        <v>79</v>
      </c>
      <c r="F377" s="52" t="s">
        <v>1039</v>
      </c>
      <c r="G377" s="59" t="s">
        <v>316</v>
      </c>
      <c r="H377" s="53" t="b">
        <f ca="1">IFERROR(__xludf.DUMMYFUNCTION("if($G377="""",false, if(isna(match(H$2, split($G377:$G383,"", "",False),0)),false,true))"),FALSE)</f>
        <v>0</v>
      </c>
      <c r="I377" s="53" t="b">
        <f ca="1">IFERROR(__xludf.DUMMYFUNCTION("if($G377="""",false, if(isna(match(I$2, split($G377:$G383,"", "",False),0)),false,true))"),TRUE)</f>
        <v>1</v>
      </c>
      <c r="J377" s="53" t="b">
        <f ca="1">IFERROR(__xludf.DUMMYFUNCTION("if($G377="""",false, if(isna(match(J$2, split($G377:$G383,"", "",False),0)),false,true))"),FALSE)</f>
        <v>0</v>
      </c>
      <c r="K377" s="53" t="b">
        <f ca="1">IFERROR(__xludf.DUMMYFUNCTION("if($G377="""",false, if(isna(match(K$2, split($G377:$G383,"", "",False),0)),false,true))"),FALSE)</f>
        <v>0</v>
      </c>
      <c r="L377" s="53" t="b">
        <f ca="1">IFERROR(__xludf.DUMMYFUNCTION("if($G377="""",false, if(isna(match(L$2, split($G377:$G383,"", "",False),0)),false,true))"),FALSE)</f>
        <v>0</v>
      </c>
      <c r="M377" s="53" t="b">
        <f ca="1">IFERROR(__xludf.DUMMYFUNCTION("if($G377="""",false, if(isna(match(M$2, split($G377:$G383,"", "",False),0)),false,true))"),FALSE)</f>
        <v>0</v>
      </c>
      <c r="N377" s="53" t="b">
        <f ca="1">IFERROR(__xludf.DUMMYFUNCTION("if($G377="""",false, if(isna(match(N$2, split($G377:$G383,"", "",False),0)),false,true))"),FALSE)</f>
        <v>0</v>
      </c>
      <c r="O377" s="53" t="b">
        <f ca="1">IFERROR(__xludf.DUMMYFUNCTION("if($G377="""",false, if(isna(match(O$2, split($G377:$G383,"", "",False),0)),false,true))"),FALSE)</f>
        <v>0</v>
      </c>
      <c r="P377" s="53" t="b">
        <f ca="1">IFERROR(__xludf.DUMMYFUNCTION("if($G377="""",false, if(isna(match(P$2, split($G377:$G383,"", "",False),0)),false,true))"),FALSE)</f>
        <v>0</v>
      </c>
      <c r="Q377" s="53" t="b">
        <f ca="1">IFERROR(__xludf.DUMMYFUNCTION("if($G377="""",false, if(isna(match(Q$2, split($G377:$G383,"", "",False),0)),false,true))"),FALSE)</f>
        <v>0</v>
      </c>
      <c r="R377" s="53" t="b">
        <f ca="1">IFERROR(__xludf.DUMMYFUNCTION("if($G377="""",false, if(isna(match(R$2, split($G377:$G383,"", "",False),0)),false,true))"),FALSE)</f>
        <v>0</v>
      </c>
      <c r="S377" s="53" t="b">
        <f ca="1">IFERROR(__xludf.DUMMYFUNCTION("if($G377="""",false, if(isna(match(S$2, split($G377:$G383,"", "",False),0)),false,true))"),TRUE)</f>
        <v>1</v>
      </c>
      <c r="T377" s="53" t="b">
        <f ca="1">IFERROR(__xludf.DUMMYFUNCTION("if($G377="""",false, if(isna(match(T$2, split($G377:$G383,"", "",False),0)),false,true))"),FALSE)</f>
        <v>0</v>
      </c>
      <c r="U377" s="53" t="b">
        <f ca="1">IFERROR(__xludf.DUMMYFUNCTION("if($G377="""",false, if(isna(match(U$2, split($G377:$G383,"", "",False),0)),false,true))"),FALSE)</f>
        <v>0</v>
      </c>
      <c r="V377" s="53" t="b">
        <f ca="1">IFERROR(__xludf.DUMMYFUNCTION("if($G377="""",false, if(isna(match(V$2, split($G377:$G383,"", "",False),0)),false,true))"),FALSE)</f>
        <v>0</v>
      </c>
      <c r="W377" s="57" t="b">
        <f ca="1">IFERROR(__xludf.DUMMYFUNCTION("if($G377="""",false, if(isna(match(W$2, split($G377:$G383,"", "",False),0)),false,true))"),FALSE)</f>
        <v>0</v>
      </c>
    </row>
    <row r="378" spans="1:23" ht="28">
      <c r="A378" s="47" t="s">
        <v>1040</v>
      </c>
      <c r="B378" s="47" t="s">
        <v>63</v>
      </c>
      <c r="C378" s="49" t="s">
        <v>970</v>
      </c>
      <c r="D378" s="52" t="s">
        <v>1036</v>
      </c>
      <c r="E378" s="49" t="s">
        <v>79</v>
      </c>
      <c r="F378" s="52" t="s">
        <v>1041</v>
      </c>
      <c r="G378" s="59" t="s">
        <v>109</v>
      </c>
      <c r="H378" s="53" t="b">
        <f ca="1">IFERROR(__xludf.DUMMYFUNCTION("if($G378="""",false, if(isna(match(H$2, split($G378:$G383,"", "",False),0)),false,true))"),FALSE)</f>
        <v>0</v>
      </c>
      <c r="I378" s="53" t="b">
        <f ca="1">IFERROR(__xludf.DUMMYFUNCTION("if($G378="""",false, if(isna(match(I$2, split($G378:$G383,"", "",False),0)),false,true))"),TRUE)</f>
        <v>1</v>
      </c>
      <c r="J378" s="53" t="b">
        <f ca="1">IFERROR(__xludf.DUMMYFUNCTION("if($G378="""",false, if(isna(match(J$2, split($G378:$G383,"", "",False),0)),false,true))"),FALSE)</f>
        <v>0</v>
      </c>
      <c r="K378" s="53" t="b">
        <f ca="1">IFERROR(__xludf.DUMMYFUNCTION("if($G378="""",false, if(isna(match(K$2, split($G378:$G383,"", "",False),0)),false,true))"),FALSE)</f>
        <v>0</v>
      </c>
      <c r="L378" s="53" t="b">
        <f ca="1">IFERROR(__xludf.DUMMYFUNCTION("if($G378="""",false, if(isna(match(L$2, split($G378:$G383,"", "",False),0)),false,true))"),FALSE)</f>
        <v>0</v>
      </c>
      <c r="M378" s="53" t="b">
        <f ca="1">IFERROR(__xludf.DUMMYFUNCTION("if($G378="""",false, if(isna(match(M$2, split($G378:$G383,"", "",False),0)),false,true))"),FALSE)</f>
        <v>0</v>
      </c>
      <c r="N378" s="53" t="b">
        <f ca="1">IFERROR(__xludf.DUMMYFUNCTION("if($G378="""",false, if(isna(match(N$2, split($G378:$G383,"", "",False),0)),false,true))"),FALSE)</f>
        <v>0</v>
      </c>
      <c r="O378" s="53" t="b">
        <f ca="1">IFERROR(__xludf.DUMMYFUNCTION("if($G378="""",false, if(isna(match(O$2, split($G378:$G383,"", "",False),0)),false,true))"),FALSE)</f>
        <v>0</v>
      </c>
      <c r="P378" s="53" t="b">
        <f ca="1">IFERROR(__xludf.DUMMYFUNCTION("if($G378="""",false, if(isna(match(P$2, split($G378:$G383,"", "",False),0)),false,true))"),FALSE)</f>
        <v>0</v>
      </c>
      <c r="Q378" s="53" t="b">
        <f ca="1">IFERROR(__xludf.DUMMYFUNCTION("if($G378="""",false, if(isna(match(Q$2, split($G378:$G383,"", "",False),0)),false,true))"),FALSE)</f>
        <v>0</v>
      </c>
      <c r="R378" s="53" t="b">
        <f ca="1">IFERROR(__xludf.DUMMYFUNCTION("if($G378="""",false, if(isna(match(R$2, split($G378:$G383,"", "",False),0)),false,true))"),FALSE)</f>
        <v>0</v>
      </c>
      <c r="S378" s="53" t="b">
        <f ca="1">IFERROR(__xludf.DUMMYFUNCTION("if($G378="""",false, if(isna(match(S$2, split($G378:$G383,"", "",False),0)),false,true))"),FALSE)</f>
        <v>0</v>
      </c>
      <c r="T378" s="53" t="b">
        <f ca="1">IFERROR(__xludf.DUMMYFUNCTION("if($G378="""",false, if(isna(match(T$2, split($G378:$G383,"", "",False),0)),false,true))"),FALSE)</f>
        <v>0</v>
      </c>
      <c r="U378" s="53" t="b">
        <f ca="1">IFERROR(__xludf.DUMMYFUNCTION("if($G378="""",false, if(isna(match(U$2, split($G378:$G383,"", "",False),0)),false,true))"),FALSE)</f>
        <v>0</v>
      </c>
      <c r="V378" s="53" t="b">
        <f ca="1">IFERROR(__xludf.DUMMYFUNCTION("if($G378="""",false, if(isna(match(V$2, split($G378:$G383,"", "",False),0)),false,true))"),FALSE)</f>
        <v>0</v>
      </c>
      <c r="W378" s="57" t="b">
        <f ca="1">IFERROR(__xludf.DUMMYFUNCTION("if($G378="""",false, if(isna(match(W$2, split($G378:$G383,"", "",False),0)),false,true))"),FALSE)</f>
        <v>0</v>
      </c>
    </row>
    <row r="379" spans="1:23" ht="28">
      <c r="A379" s="47" t="s">
        <v>1042</v>
      </c>
      <c r="B379" s="47" t="s">
        <v>63</v>
      </c>
      <c r="C379" s="49" t="s">
        <v>970</v>
      </c>
      <c r="D379" s="52" t="s">
        <v>1036</v>
      </c>
      <c r="E379" s="49" t="s">
        <v>79</v>
      </c>
      <c r="F379" s="52" t="s">
        <v>1043</v>
      </c>
      <c r="G379" s="59" t="s">
        <v>109</v>
      </c>
      <c r="H379" s="53" t="b">
        <f ca="1">IFERROR(__xludf.DUMMYFUNCTION("if($G379="""",false, if(isna(match(H$2, split($G379:$G383,"", "",False),0)),false,true))"),FALSE)</f>
        <v>0</v>
      </c>
      <c r="I379" s="53" t="b">
        <f ca="1">IFERROR(__xludf.DUMMYFUNCTION("if($G379="""",false, if(isna(match(I$2, split($G379:$G383,"", "",False),0)),false,true))"),TRUE)</f>
        <v>1</v>
      </c>
      <c r="J379" s="53" t="b">
        <f ca="1">IFERROR(__xludf.DUMMYFUNCTION("if($G379="""",false, if(isna(match(J$2, split($G379:$G383,"", "",False),0)),false,true))"),FALSE)</f>
        <v>0</v>
      </c>
      <c r="K379" s="53" t="b">
        <f ca="1">IFERROR(__xludf.DUMMYFUNCTION("if($G379="""",false, if(isna(match(K$2, split($G379:$G383,"", "",False),0)),false,true))"),FALSE)</f>
        <v>0</v>
      </c>
      <c r="L379" s="53" t="b">
        <f ca="1">IFERROR(__xludf.DUMMYFUNCTION("if($G379="""",false, if(isna(match(L$2, split($G379:$G383,"", "",False),0)),false,true))"),FALSE)</f>
        <v>0</v>
      </c>
      <c r="M379" s="53" t="b">
        <f ca="1">IFERROR(__xludf.DUMMYFUNCTION("if($G379="""",false, if(isna(match(M$2, split($G379:$G383,"", "",False),0)),false,true))"),FALSE)</f>
        <v>0</v>
      </c>
      <c r="N379" s="53" t="b">
        <f ca="1">IFERROR(__xludf.DUMMYFUNCTION("if($G379="""",false, if(isna(match(N$2, split($G379:$G383,"", "",False),0)),false,true))"),FALSE)</f>
        <v>0</v>
      </c>
      <c r="O379" s="53" t="b">
        <f ca="1">IFERROR(__xludf.DUMMYFUNCTION("if($G379="""",false, if(isna(match(O$2, split($G379:$G383,"", "",False),0)),false,true))"),FALSE)</f>
        <v>0</v>
      </c>
      <c r="P379" s="53" t="b">
        <f ca="1">IFERROR(__xludf.DUMMYFUNCTION("if($G379="""",false, if(isna(match(P$2, split($G379:$G383,"", "",False),0)),false,true))"),FALSE)</f>
        <v>0</v>
      </c>
      <c r="Q379" s="53" t="b">
        <f ca="1">IFERROR(__xludf.DUMMYFUNCTION("if($G379="""",false, if(isna(match(Q$2, split($G379:$G383,"", "",False),0)),false,true))"),FALSE)</f>
        <v>0</v>
      </c>
      <c r="R379" s="53" t="b">
        <f ca="1">IFERROR(__xludf.DUMMYFUNCTION("if($G379="""",false, if(isna(match(R$2, split($G379:$G383,"", "",False),0)),false,true))"),FALSE)</f>
        <v>0</v>
      </c>
      <c r="S379" s="53" t="b">
        <f ca="1">IFERROR(__xludf.DUMMYFUNCTION("if($G379="""",false, if(isna(match(S$2, split($G379:$G383,"", "",False),0)),false,true))"),FALSE)</f>
        <v>0</v>
      </c>
      <c r="T379" s="53" t="b">
        <f ca="1">IFERROR(__xludf.DUMMYFUNCTION("if($G379="""",false, if(isna(match(T$2, split($G379:$G383,"", "",False),0)),false,true))"),FALSE)</f>
        <v>0</v>
      </c>
      <c r="U379" s="53" t="b">
        <f ca="1">IFERROR(__xludf.DUMMYFUNCTION("if($G379="""",false, if(isna(match(U$2, split($G379:$G383,"", "",False),0)),false,true))"),FALSE)</f>
        <v>0</v>
      </c>
      <c r="V379" s="53" t="b">
        <f ca="1">IFERROR(__xludf.DUMMYFUNCTION("if($G379="""",false, if(isna(match(V$2, split($G379:$G383,"", "",False),0)),false,true))"),FALSE)</f>
        <v>0</v>
      </c>
      <c r="W379" s="57" t="b">
        <f ca="1">IFERROR(__xludf.DUMMYFUNCTION("if($G379="""",false, if(isna(match(W$2, split($G379:$G383,"", "",False),0)),false,true))"),FALSE)</f>
        <v>0</v>
      </c>
    </row>
    <row r="380" spans="1:23" ht="56">
      <c r="A380" s="47" t="s">
        <v>1044</v>
      </c>
      <c r="B380" s="47" t="s">
        <v>63</v>
      </c>
      <c r="C380" s="49" t="s">
        <v>970</v>
      </c>
      <c r="D380" s="52" t="s">
        <v>1045</v>
      </c>
      <c r="E380" s="49" t="s">
        <v>1046</v>
      </c>
      <c r="F380" s="52" t="s">
        <v>1047</v>
      </c>
      <c r="G380" s="59" t="s">
        <v>1048</v>
      </c>
      <c r="H380" s="53" t="b">
        <f ca="1">IFERROR(__xludf.DUMMYFUNCTION("if($G380="""",false, if(isna(match(H$2, split($G380:$G383,"", "",False),0)),false,true))"),FALSE)</f>
        <v>0</v>
      </c>
      <c r="I380" s="53" t="b">
        <f ca="1">IFERROR(__xludf.DUMMYFUNCTION("if($G380="""",false, if(isna(match(I$2, split($G380:$G383,"", "",False),0)),false,true))"),TRUE)</f>
        <v>1</v>
      </c>
      <c r="J380" s="53" t="b">
        <f ca="1">IFERROR(__xludf.DUMMYFUNCTION("if($G380="""",false, if(isna(match(J$2, split($G380:$G383,"", "",False),0)),false,true))"),FALSE)</f>
        <v>0</v>
      </c>
      <c r="K380" s="53" t="b">
        <f ca="1">IFERROR(__xludf.DUMMYFUNCTION("if($G380="""",false, if(isna(match(K$2, split($G380:$G383,"", "",False),0)),false,true))"),FALSE)</f>
        <v>0</v>
      </c>
      <c r="L380" s="53" t="b">
        <f ca="1">IFERROR(__xludf.DUMMYFUNCTION("if($G380="""",false, if(isna(match(L$2, split($G380:$G383,"", "",False),0)),false,true))"),FALSE)</f>
        <v>0</v>
      </c>
      <c r="M380" s="53" t="b">
        <f ca="1">IFERROR(__xludf.DUMMYFUNCTION("if($G380="""",false, if(isna(match(M$2, split($G380:$G383,"", "",False),0)),false,true))"),FALSE)</f>
        <v>0</v>
      </c>
      <c r="N380" s="53" t="b">
        <f ca="1">IFERROR(__xludf.DUMMYFUNCTION("if($G380="""",false, if(isna(match(N$2, split($G380:$G383,"", "",False),0)),false,true))"),FALSE)</f>
        <v>0</v>
      </c>
      <c r="O380" s="53" t="b">
        <f ca="1">IFERROR(__xludf.DUMMYFUNCTION("if($G380="""",false, if(isna(match(O$2, split($G380:$G383,"", "",False),0)),false,true))"),FALSE)</f>
        <v>0</v>
      </c>
      <c r="P380" s="53" t="b">
        <f ca="1">IFERROR(__xludf.DUMMYFUNCTION("if($G380="""",false, if(isna(match(P$2, split($G380:$G383,"", "",False),0)),false,true))"),TRUE)</f>
        <v>1</v>
      </c>
      <c r="Q380" s="53" t="b">
        <f ca="1">IFERROR(__xludf.DUMMYFUNCTION("if($G380="""",false, if(isna(match(Q$2, split($G380:$G383,"", "",False),0)),false,true))"),FALSE)</f>
        <v>0</v>
      </c>
      <c r="R380" s="53" t="b">
        <f ca="1">IFERROR(__xludf.DUMMYFUNCTION("if($G380="""",false, if(isna(match(R$2, split($G380:$G383,"", "",False),0)),false,true))"),FALSE)</f>
        <v>0</v>
      </c>
      <c r="S380" s="53" t="b">
        <f ca="1">IFERROR(__xludf.DUMMYFUNCTION("if($G380="""",false, if(isna(match(S$2, split($G380:$G383,"", "",False),0)),false,true))"),FALSE)</f>
        <v>0</v>
      </c>
      <c r="T380" s="53" t="b">
        <f ca="1">IFERROR(__xludf.DUMMYFUNCTION("if($G380="""",false, if(isna(match(T$2, split($G380:$G383,"", "",False),0)),false,true))"),FALSE)</f>
        <v>0</v>
      </c>
      <c r="U380" s="53" t="b">
        <f ca="1">IFERROR(__xludf.DUMMYFUNCTION("if($G380="""",false, if(isna(match(U$2, split($G380:$G383,"", "",False),0)),false,true))"),FALSE)</f>
        <v>0</v>
      </c>
      <c r="V380" s="53" t="b">
        <f ca="1">IFERROR(__xludf.DUMMYFUNCTION("if($G380="""",false, if(isna(match(V$2, split($G380:$G383,"", "",False),0)),false,true))"),FALSE)</f>
        <v>0</v>
      </c>
      <c r="W380" s="57" t="b">
        <f ca="1">IFERROR(__xludf.DUMMYFUNCTION("if($G380="""",false, if(isna(match(W$2, split($G380:$G383,"", "",False),0)),false,true))"),FALSE)</f>
        <v>0</v>
      </c>
    </row>
    <row r="381" spans="1:23" ht="42">
      <c r="A381" s="47" t="s">
        <v>1049</v>
      </c>
      <c r="B381" s="47" t="s">
        <v>63</v>
      </c>
      <c r="C381" s="49" t="s">
        <v>970</v>
      </c>
      <c r="D381" s="52" t="s">
        <v>1045</v>
      </c>
      <c r="E381" s="49" t="s">
        <v>1046</v>
      </c>
      <c r="F381" s="52" t="s">
        <v>1050</v>
      </c>
      <c r="G381" s="59" t="s">
        <v>116</v>
      </c>
      <c r="H381" s="53" t="b">
        <f ca="1">IFERROR(__xludf.DUMMYFUNCTION("if($G381="""",false, if(isna(match(H$2, split($G381:$G383,"", "",False),0)),false,true))"),FALSE)</f>
        <v>0</v>
      </c>
      <c r="I381" s="53" t="b">
        <f ca="1">IFERROR(__xludf.DUMMYFUNCTION("if($G381="""",false, if(isna(match(I$2, split($G381:$G383,"", "",False),0)),false,true))"),FALSE)</f>
        <v>0</v>
      </c>
      <c r="J381" s="53" t="b">
        <f ca="1">IFERROR(__xludf.DUMMYFUNCTION("if($G381="""",false, if(isna(match(J$2, split($G381:$G383,"", "",False),0)),false,true))"),FALSE)</f>
        <v>0</v>
      </c>
      <c r="K381" s="53" t="b">
        <f ca="1">IFERROR(__xludf.DUMMYFUNCTION("if($G381="""",false, if(isna(match(K$2, split($G381:$G383,"", "",False),0)),false,true))"),FALSE)</f>
        <v>0</v>
      </c>
      <c r="L381" s="53" t="b">
        <f ca="1">IFERROR(__xludf.DUMMYFUNCTION("if($G381="""",false, if(isna(match(L$2, split($G381:$G383,"", "",False),0)),false,true))"),FALSE)</f>
        <v>0</v>
      </c>
      <c r="M381" s="53" t="b">
        <f ca="1">IFERROR(__xludf.DUMMYFUNCTION("if($G381="""",false, if(isna(match(M$2, split($G381:$G383,"", "",False),0)),false,true))"),FALSE)</f>
        <v>0</v>
      </c>
      <c r="N381" s="53" t="b">
        <f ca="1">IFERROR(__xludf.DUMMYFUNCTION("if($G381="""",false, if(isna(match(N$2, split($G381:$G383,"", "",False),0)),false,true))"),FALSE)</f>
        <v>0</v>
      </c>
      <c r="O381" s="53" t="b">
        <f ca="1">IFERROR(__xludf.DUMMYFUNCTION("if($G381="""",false, if(isna(match(O$2, split($G381:$G383,"", "",False),0)),false,true))"),FALSE)</f>
        <v>0</v>
      </c>
      <c r="P381" s="53" t="b">
        <f ca="1">IFERROR(__xludf.DUMMYFUNCTION("if($G381="""",false, if(isna(match(P$2, split($G381:$G383,"", "",False),0)),false,true))"),TRUE)</f>
        <v>1</v>
      </c>
      <c r="Q381" s="53" t="b">
        <f ca="1">IFERROR(__xludf.DUMMYFUNCTION("if($G381="""",false, if(isna(match(Q$2, split($G381:$G383,"", "",False),0)),false,true))"),FALSE)</f>
        <v>0</v>
      </c>
      <c r="R381" s="53" t="b">
        <f ca="1">IFERROR(__xludf.DUMMYFUNCTION("if($G381="""",false, if(isna(match(R$2, split($G381:$G383,"", "",False),0)),false,true))"),FALSE)</f>
        <v>0</v>
      </c>
      <c r="S381" s="53" t="b">
        <f ca="1">IFERROR(__xludf.DUMMYFUNCTION("if($G381="""",false, if(isna(match(S$2, split($G381:$G383,"", "",False),0)),false,true))"),FALSE)</f>
        <v>0</v>
      </c>
      <c r="T381" s="53" t="b">
        <f ca="1">IFERROR(__xludf.DUMMYFUNCTION("if($G381="""",false, if(isna(match(T$2, split($G381:$G383,"", "",False),0)),false,true))"),FALSE)</f>
        <v>0</v>
      </c>
      <c r="U381" s="53" t="b">
        <f ca="1">IFERROR(__xludf.DUMMYFUNCTION("if($G381="""",false, if(isna(match(U$2, split($G381:$G383,"", "",False),0)),false,true))"),FALSE)</f>
        <v>0</v>
      </c>
      <c r="V381" s="53" t="b">
        <f ca="1">IFERROR(__xludf.DUMMYFUNCTION("if($G381="""",false, if(isna(match(V$2, split($G381:$G383,"", "",False),0)),false,true))"),FALSE)</f>
        <v>0</v>
      </c>
      <c r="W381" s="57" t="b">
        <f ca="1">IFERROR(__xludf.DUMMYFUNCTION("if($G381="""",false, if(isna(match(W$2, split($G381:$G383,"", "",False),0)),false,true))"),FALSE)</f>
        <v>0</v>
      </c>
    </row>
    <row r="382" spans="1:23" ht="42">
      <c r="A382" s="47" t="s">
        <v>1051</v>
      </c>
      <c r="B382" s="47" t="s">
        <v>63</v>
      </c>
      <c r="C382" s="49" t="s">
        <v>970</v>
      </c>
      <c r="D382" s="52" t="s">
        <v>1045</v>
      </c>
      <c r="E382" s="49" t="s">
        <v>1046</v>
      </c>
      <c r="F382" s="52" t="s">
        <v>1052</v>
      </c>
      <c r="G382" s="59" t="s">
        <v>116</v>
      </c>
      <c r="H382" s="53" t="b">
        <f ca="1">IFERROR(__xludf.DUMMYFUNCTION("if($G382="""",false, if(isna(match(H$2, split($G382:$G383,"", "",False),0)),false,true))"),FALSE)</f>
        <v>0</v>
      </c>
      <c r="I382" s="53" t="b">
        <f ca="1">IFERROR(__xludf.DUMMYFUNCTION("if($G382="""",false, if(isna(match(I$2, split($G382:$G383,"", "",False),0)),false,true))"),FALSE)</f>
        <v>0</v>
      </c>
      <c r="J382" s="53" t="b">
        <f ca="1">IFERROR(__xludf.DUMMYFUNCTION("if($G382="""",false, if(isna(match(J$2, split($G382:$G383,"", "",False),0)),false,true))"),FALSE)</f>
        <v>0</v>
      </c>
      <c r="K382" s="53" t="b">
        <f ca="1">IFERROR(__xludf.DUMMYFUNCTION("if($G382="""",false, if(isna(match(K$2, split($G382:$G383,"", "",False),0)),false,true))"),FALSE)</f>
        <v>0</v>
      </c>
      <c r="L382" s="53" t="b">
        <f ca="1">IFERROR(__xludf.DUMMYFUNCTION("if($G382="""",false, if(isna(match(L$2, split($G382:$G383,"", "",False),0)),false,true))"),FALSE)</f>
        <v>0</v>
      </c>
      <c r="M382" s="53" t="b">
        <f ca="1">IFERROR(__xludf.DUMMYFUNCTION("if($G382="""",false, if(isna(match(M$2, split($G382:$G383,"", "",False),0)),false,true))"),FALSE)</f>
        <v>0</v>
      </c>
      <c r="N382" s="53" t="b">
        <f ca="1">IFERROR(__xludf.DUMMYFUNCTION("if($G382="""",false, if(isna(match(N$2, split($G382:$G383,"", "",False),0)),false,true))"),FALSE)</f>
        <v>0</v>
      </c>
      <c r="O382" s="53" t="b">
        <f ca="1">IFERROR(__xludf.DUMMYFUNCTION("if($G382="""",false, if(isna(match(O$2, split($G382:$G383,"", "",False),0)),false,true))"),FALSE)</f>
        <v>0</v>
      </c>
      <c r="P382" s="53" t="b">
        <f ca="1">IFERROR(__xludf.DUMMYFUNCTION("if($G382="""",false, if(isna(match(P$2, split($G382:$G383,"", "",False),0)),false,true))"),TRUE)</f>
        <v>1</v>
      </c>
      <c r="Q382" s="53" t="b">
        <f ca="1">IFERROR(__xludf.DUMMYFUNCTION("if($G382="""",false, if(isna(match(Q$2, split($G382:$G383,"", "",False),0)),false,true))"),FALSE)</f>
        <v>0</v>
      </c>
      <c r="R382" s="53" t="b">
        <f ca="1">IFERROR(__xludf.DUMMYFUNCTION("if($G382="""",false, if(isna(match(R$2, split($G382:$G383,"", "",False),0)),false,true))"),FALSE)</f>
        <v>0</v>
      </c>
      <c r="S382" s="53" t="b">
        <f ca="1">IFERROR(__xludf.DUMMYFUNCTION("if($G382="""",false, if(isna(match(S$2, split($G382:$G383,"", "",False),0)),false,true))"),FALSE)</f>
        <v>0</v>
      </c>
      <c r="T382" s="53" t="b">
        <f ca="1">IFERROR(__xludf.DUMMYFUNCTION("if($G382="""",false, if(isna(match(T$2, split($G382:$G383,"", "",False),0)),false,true))"),FALSE)</f>
        <v>0</v>
      </c>
      <c r="U382" s="53" t="b">
        <f ca="1">IFERROR(__xludf.DUMMYFUNCTION("if($G382="""",false, if(isna(match(U$2, split($G382:$G383,"", "",False),0)),false,true))"),FALSE)</f>
        <v>0</v>
      </c>
      <c r="V382" s="53" t="b">
        <f ca="1">IFERROR(__xludf.DUMMYFUNCTION("if($G382="""",false, if(isna(match(V$2, split($G382:$G383,"", "",False),0)),false,true))"),FALSE)</f>
        <v>0</v>
      </c>
      <c r="W382" s="57" t="b">
        <f ca="1">IFERROR(__xludf.DUMMYFUNCTION("if($G382="""",false, if(isna(match(W$2, split($G382:$G383,"", "",False),0)),false,true))"),FALSE)</f>
        <v>0</v>
      </c>
    </row>
    <row r="383" spans="1:23" ht="84">
      <c r="A383" s="47" t="s">
        <v>1053</v>
      </c>
      <c r="B383" s="60" t="s">
        <v>63</v>
      </c>
      <c r="C383" s="61" t="s">
        <v>970</v>
      </c>
      <c r="D383" s="62" t="s">
        <v>1045</v>
      </c>
      <c r="E383" s="61" t="s">
        <v>1054</v>
      </c>
      <c r="F383" s="62" t="s">
        <v>1055</v>
      </c>
      <c r="G383" s="63" t="s">
        <v>116</v>
      </c>
      <c r="H383" s="64" t="b">
        <f ca="1">IFERROR(__xludf.DUMMYFUNCTION("if($G383="""",false, if(isna(match(H$2, split($G383,"", "",False),0)),false,true))"),FALSE)</f>
        <v>0</v>
      </c>
      <c r="I383" s="64" t="b">
        <f ca="1">IFERROR(__xludf.DUMMYFUNCTION("if($G383="""",false, if(isna(match(I$2, split($G383,"", "",False),0)),false,true))"),FALSE)</f>
        <v>0</v>
      </c>
      <c r="J383" s="64" t="b">
        <f ca="1">IFERROR(__xludf.DUMMYFUNCTION("if($G383="""",false, if(isna(match(J$2, split($G383,"", "",False),0)),false,true))"),FALSE)</f>
        <v>0</v>
      </c>
      <c r="K383" s="64" t="b">
        <f ca="1">IFERROR(__xludf.DUMMYFUNCTION("if($G383="""",false, if(isna(match(K$2, split($G383,"", "",False),0)),false,true))"),FALSE)</f>
        <v>0</v>
      </c>
      <c r="L383" s="64" t="b">
        <f ca="1">IFERROR(__xludf.DUMMYFUNCTION("if($G383="""",false, if(isna(match(L$2, split($G383,"", "",False),0)),false,true))"),FALSE)</f>
        <v>0</v>
      </c>
      <c r="M383" s="64" t="b">
        <f ca="1">IFERROR(__xludf.DUMMYFUNCTION("if($G383="""",false, if(isna(match(M$2, split($G383,"", "",False),0)),false,true))"),FALSE)</f>
        <v>0</v>
      </c>
      <c r="N383" s="64" t="b">
        <f ca="1">IFERROR(__xludf.DUMMYFUNCTION("if($G383="""",false, if(isna(match(N$2, split($G383,"", "",False),0)),false,true))"),FALSE)</f>
        <v>0</v>
      </c>
      <c r="O383" s="64" t="b">
        <f ca="1">IFERROR(__xludf.DUMMYFUNCTION("if($G383="""",false, if(isna(match(O$2, split($G383,"", "",False),0)),false,true))"),FALSE)</f>
        <v>0</v>
      </c>
      <c r="P383" s="64" t="b">
        <f ca="1">IFERROR(__xludf.DUMMYFUNCTION("if($G383="""",false, if(isna(match(P$2, split($G383,"", "",False),0)),false,true))"),TRUE)</f>
        <v>1</v>
      </c>
      <c r="Q383" s="64" t="b">
        <f ca="1">IFERROR(__xludf.DUMMYFUNCTION("if($G383="""",false, if(isna(match(Q$2, split($G383,"", "",False),0)),false,true))"),FALSE)</f>
        <v>0</v>
      </c>
      <c r="R383" s="64" t="b">
        <f ca="1">IFERROR(__xludf.DUMMYFUNCTION("if($G383="""",false, if(isna(match(R$2, split($G383,"", "",False),0)),false,true))"),FALSE)</f>
        <v>0</v>
      </c>
      <c r="S383" s="64" t="b">
        <f ca="1">IFERROR(__xludf.DUMMYFUNCTION("if($G383="""",false, if(isna(match(S$2, split($G383,"", "",False),0)),false,true))"),FALSE)</f>
        <v>0</v>
      </c>
      <c r="T383" s="64" t="b">
        <f ca="1">IFERROR(__xludf.DUMMYFUNCTION("if($G383="""",false, if(isna(match(T$2, split($G383,"", "",False),0)),false,true))"),FALSE)</f>
        <v>0</v>
      </c>
      <c r="U383" s="64" t="b">
        <f ca="1">IFERROR(__xludf.DUMMYFUNCTION("if($G383="""",false, if(isna(match(U$2, split($G383,"", "",False),0)),false,true))"),FALSE)</f>
        <v>0</v>
      </c>
      <c r="V383" s="64" t="b">
        <f ca="1">IFERROR(__xludf.DUMMYFUNCTION("if($G383="""",false, if(isna(match(V$2, split($G383,"", "",False),0)),false,true))"),FALSE)</f>
        <v>0</v>
      </c>
      <c r="W383" s="65" t="b">
        <f ca="1">IFERROR(__xludf.DUMMYFUNCTION("if($G383="""",false, if(isna(match(W$2, split($G383,"", "",False),0)),false,true))"),FALSE)</f>
        <v>0</v>
      </c>
    </row>
  </sheetData>
  <autoFilter ref="A2:W383" xr:uid="{00000000-0009-0000-0000-000009000000}">
    <sortState xmlns:xlrd2="http://schemas.microsoft.com/office/spreadsheetml/2017/richdata2" ref="A2:W383">
      <sortCondition ref="A2:A383"/>
    </sortState>
  </autoFilter>
  <mergeCells count="2">
    <mergeCell ref="F1:G1"/>
    <mergeCell ref="H1:W1"/>
  </mergeCells>
  <conditionalFormatting sqref="F3:W383">
    <cfRule type="cellIs" dxfId="3" priority="1" operator="equal">
      <formula>TRUE</formula>
    </cfRule>
  </conditionalFormatting>
  <conditionalFormatting sqref="F3:W383">
    <cfRule type="cellIs" dxfId="2" priority="2" operator="equal">
      <formula>FALSE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I78"/>
  <sheetViews>
    <sheetView workbookViewId="0"/>
  </sheetViews>
  <sheetFormatPr baseColWidth="10" defaultColWidth="12.6640625" defaultRowHeight="15.75" customHeight="1"/>
  <sheetData>
    <row r="1" spans="1:9" ht="15.75" customHeight="1">
      <c r="A1" s="54" t="s">
        <v>1056</v>
      </c>
      <c r="B1" s="54" t="s">
        <v>1057</v>
      </c>
      <c r="C1" s="54" t="s">
        <v>1058</v>
      </c>
      <c r="D1" s="54" t="s">
        <v>1059</v>
      </c>
      <c r="E1" s="54" t="s">
        <v>1060</v>
      </c>
      <c r="F1" s="54" t="s">
        <v>1061</v>
      </c>
      <c r="G1" s="54" t="s">
        <v>1061</v>
      </c>
      <c r="H1" s="54" t="s">
        <v>1061</v>
      </c>
      <c r="I1" s="54" t="s">
        <v>1061</v>
      </c>
    </row>
    <row r="2" spans="1:9" ht="15.75" customHeight="1">
      <c r="A2" s="54">
        <v>1</v>
      </c>
      <c r="B2" s="54">
        <v>1</v>
      </c>
      <c r="C2" s="54" t="s">
        <v>1062</v>
      </c>
      <c r="D2" s="54">
        <v>1</v>
      </c>
      <c r="E2" s="54" t="s">
        <v>1063</v>
      </c>
      <c r="F2" s="54" t="s">
        <v>1064</v>
      </c>
      <c r="G2" s="54" t="s">
        <v>1065</v>
      </c>
      <c r="H2" s="54" t="s">
        <v>1066</v>
      </c>
      <c r="I2" s="54" t="s">
        <v>49</v>
      </c>
    </row>
    <row r="3" spans="1:9" ht="15.75" customHeight="1">
      <c r="A3" s="54">
        <v>1</v>
      </c>
      <c r="B3" s="54">
        <v>1</v>
      </c>
      <c r="C3" s="54" t="s">
        <v>1062</v>
      </c>
      <c r="D3" s="54">
        <v>2</v>
      </c>
      <c r="E3" s="54" t="s">
        <v>1067</v>
      </c>
      <c r="F3" s="54" t="s">
        <v>1068</v>
      </c>
      <c r="G3" s="54" t="s">
        <v>1065</v>
      </c>
      <c r="H3" s="54" t="s">
        <v>18</v>
      </c>
      <c r="I3" s="54" t="s">
        <v>49</v>
      </c>
    </row>
    <row r="4" spans="1:9" ht="15.75" customHeight="1">
      <c r="A4" s="54">
        <v>1</v>
      </c>
      <c r="B4" s="54">
        <v>1</v>
      </c>
      <c r="C4" s="54" t="s">
        <v>1062</v>
      </c>
      <c r="D4" s="54">
        <v>3</v>
      </c>
      <c r="E4" s="54" t="s">
        <v>1069</v>
      </c>
      <c r="F4" s="54" t="s">
        <v>1070</v>
      </c>
      <c r="G4" s="54" t="s">
        <v>1065</v>
      </c>
      <c r="H4" s="54" t="s">
        <v>1071</v>
      </c>
      <c r="I4" s="54" t="s">
        <v>49</v>
      </c>
    </row>
    <row r="5" spans="1:9" ht="15.75" customHeight="1">
      <c r="A5" s="54">
        <v>1</v>
      </c>
      <c r="B5" s="54">
        <v>1</v>
      </c>
      <c r="C5" s="54" t="s">
        <v>1062</v>
      </c>
      <c r="D5" s="54">
        <v>4</v>
      </c>
      <c r="E5" s="54" t="s">
        <v>1072</v>
      </c>
      <c r="F5" s="54" t="s">
        <v>1073</v>
      </c>
      <c r="G5" s="54" t="s">
        <v>1065</v>
      </c>
      <c r="H5" s="54" t="s">
        <v>1071</v>
      </c>
      <c r="I5" s="54" t="s">
        <v>49</v>
      </c>
    </row>
    <row r="6" spans="1:9" ht="15.75" customHeight="1">
      <c r="A6" s="54">
        <v>1</v>
      </c>
      <c r="B6" s="54">
        <v>1</v>
      </c>
      <c r="C6" s="54" t="s">
        <v>1062</v>
      </c>
      <c r="D6" s="54">
        <v>5</v>
      </c>
      <c r="E6" s="54" t="s">
        <v>1074</v>
      </c>
      <c r="F6" s="54" t="s">
        <v>1075</v>
      </c>
      <c r="G6" s="54" t="s">
        <v>1065</v>
      </c>
      <c r="H6" s="54" t="s">
        <v>1071</v>
      </c>
      <c r="I6" s="54" t="s">
        <v>49</v>
      </c>
    </row>
    <row r="7" spans="1:9" ht="15.75" customHeight="1">
      <c r="A7" s="54">
        <v>1</v>
      </c>
      <c r="B7" s="54">
        <v>1</v>
      </c>
      <c r="C7" s="54" t="s">
        <v>1062</v>
      </c>
      <c r="D7" s="54">
        <v>6</v>
      </c>
      <c r="E7" s="54" t="s">
        <v>1076</v>
      </c>
      <c r="F7" s="54" t="s">
        <v>1077</v>
      </c>
      <c r="G7" s="54" t="s">
        <v>1065</v>
      </c>
      <c r="H7" s="54" t="s">
        <v>1078</v>
      </c>
      <c r="I7" s="54" t="s">
        <v>49</v>
      </c>
    </row>
    <row r="8" spans="1:9" ht="15.75" customHeight="1">
      <c r="A8" s="54">
        <v>1</v>
      </c>
      <c r="B8" s="54">
        <v>1</v>
      </c>
      <c r="C8" s="54" t="s">
        <v>1079</v>
      </c>
      <c r="D8" s="54">
        <v>1</v>
      </c>
      <c r="E8" s="54" t="s">
        <v>1080</v>
      </c>
      <c r="F8" s="54" t="s">
        <v>1081</v>
      </c>
      <c r="G8" s="54">
        <v>1.4</v>
      </c>
      <c r="H8" s="54" t="s">
        <v>1082</v>
      </c>
      <c r="I8" s="54" t="s">
        <v>1083</v>
      </c>
    </row>
    <row r="9" spans="1:9" ht="15.75" customHeight="1">
      <c r="A9" s="54">
        <v>1</v>
      </c>
      <c r="B9" s="54">
        <v>1</v>
      </c>
      <c r="C9" s="54" t="s">
        <v>1079</v>
      </c>
      <c r="D9" s="54">
        <v>2</v>
      </c>
      <c r="E9" s="54" t="s">
        <v>1084</v>
      </c>
      <c r="F9" s="54" t="s">
        <v>1085</v>
      </c>
      <c r="G9" s="54">
        <v>1.4</v>
      </c>
      <c r="H9" s="54" t="s">
        <v>1082</v>
      </c>
      <c r="I9" s="54" t="s">
        <v>1083</v>
      </c>
    </row>
    <row r="10" spans="1:9" ht="15.75" customHeight="1">
      <c r="A10" s="54">
        <v>1</v>
      </c>
      <c r="B10" s="54">
        <v>1</v>
      </c>
      <c r="C10" s="54" t="s">
        <v>1079</v>
      </c>
      <c r="D10" s="54">
        <v>3</v>
      </c>
      <c r="E10" s="54" t="s">
        <v>1086</v>
      </c>
      <c r="F10" s="54" t="s">
        <v>1087</v>
      </c>
      <c r="G10" s="54">
        <v>1.4</v>
      </c>
      <c r="H10" s="54" t="s">
        <v>1082</v>
      </c>
      <c r="I10" s="54" t="s">
        <v>1083</v>
      </c>
    </row>
    <row r="11" spans="1:9" ht="15.75" customHeight="1">
      <c r="A11" s="54">
        <v>1</v>
      </c>
      <c r="B11" s="54">
        <v>1</v>
      </c>
      <c r="C11" s="54" t="s">
        <v>1079</v>
      </c>
      <c r="D11" s="54">
        <v>4</v>
      </c>
      <c r="E11" s="54" t="s">
        <v>1088</v>
      </c>
      <c r="F11" s="54" t="s">
        <v>1089</v>
      </c>
      <c r="G11" s="54">
        <v>1.4</v>
      </c>
      <c r="H11" s="54" t="s">
        <v>1090</v>
      </c>
      <c r="I11" s="54" t="s">
        <v>1083</v>
      </c>
    </row>
    <row r="12" spans="1:9" ht="15.75" customHeight="1">
      <c r="A12" s="54">
        <v>1</v>
      </c>
      <c r="B12" s="54">
        <v>1</v>
      </c>
      <c r="C12" s="54" t="s">
        <v>1079</v>
      </c>
      <c r="D12" s="54">
        <v>5</v>
      </c>
      <c r="E12" s="54" t="s">
        <v>1091</v>
      </c>
      <c r="F12" s="54" t="s">
        <v>1092</v>
      </c>
      <c r="G12" s="54">
        <v>1.4</v>
      </c>
      <c r="H12" s="54" t="s">
        <v>1082</v>
      </c>
      <c r="I12" s="54" t="s">
        <v>1083</v>
      </c>
    </row>
    <row r="13" spans="1:9" ht="15.75" customHeight="1">
      <c r="A13" s="54">
        <v>1</v>
      </c>
      <c r="B13" s="54">
        <v>1</v>
      </c>
      <c r="C13" s="54" t="s">
        <v>1079</v>
      </c>
      <c r="D13" s="54">
        <v>6</v>
      </c>
      <c r="E13" s="54" t="s">
        <v>1093</v>
      </c>
      <c r="F13" s="54" t="s">
        <v>1094</v>
      </c>
      <c r="G13" s="54">
        <v>1.4</v>
      </c>
      <c r="H13" s="54" t="s">
        <v>1090</v>
      </c>
      <c r="I13" s="54" t="s">
        <v>1083</v>
      </c>
    </row>
    <row r="14" spans="1:9" ht="15.75" customHeight="1">
      <c r="A14" s="54">
        <v>1</v>
      </c>
      <c r="B14" s="54">
        <v>1</v>
      </c>
      <c r="C14" s="54" t="s">
        <v>1095</v>
      </c>
      <c r="D14" s="54">
        <v>1</v>
      </c>
      <c r="E14" s="54" t="s">
        <v>1096</v>
      </c>
      <c r="F14" s="54" t="s">
        <v>1097</v>
      </c>
      <c r="G14" s="54" t="s">
        <v>1098</v>
      </c>
      <c r="H14" s="54" t="s">
        <v>1082</v>
      </c>
      <c r="I14" s="54" t="s">
        <v>51</v>
      </c>
    </row>
    <row r="15" spans="1:9" ht="15.75" customHeight="1">
      <c r="A15" s="54">
        <v>1</v>
      </c>
      <c r="B15" s="54">
        <v>1</v>
      </c>
      <c r="C15" s="54" t="s">
        <v>1095</v>
      </c>
      <c r="D15" s="54">
        <v>2</v>
      </c>
      <c r="E15" s="54" t="s">
        <v>1099</v>
      </c>
      <c r="F15" s="54" t="s">
        <v>1100</v>
      </c>
      <c r="G15" s="54" t="s">
        <v>1098</v>
      </c>
      <c r="H15" s="54" t="s">
        <v>1082</v>
      </c>
      <c r="I15" s="54" t="s">
        <v>51</v>
      </c>
    </row>
    <row r="16" spans="1:9" ht="15.75" customHeight="1">
      <c r="A16" s="54">
        <v>1</v>
      </c>
      <c r="B16" s="54">
        <v>1</v>
      </c>
      <c r="C16" s="54" t="s">
        <v>1095</v>
      </c>
      <c r="D16" s="54">
        <v>3</v>
      </c>
      <c r="E16" s="54" t="s">
        <v>1101</v>
      </c>
      <c r="F16" s="54" t="s">
        <v>1102</v>
      </c>
      <c r="G16" s="54" t="s">
        <v>1098</v>
      </c>
      <c r="H16" s="54" t="s">
        <v>1082</v>
      </c>
      <c r="I16" s="54" t="s">
        <v>51</v>
      </c>
    </row>
    <row r="17" spans="1:9" ht="15.75" customHeight="1">
      <c r="A17" s="54">
        <v>1</v>
      </c>
      <c r="B17" s="54">
        <v>1</v>
      </c>
      <c r="C17" s="54" t="s">
        <v>1095</v>
      </c>
      <c r="D17" s="54">
        <v>4</v>
      </c>
      <c r="E17" s="54" t="s">
        <v>1103</v>
      </c>
      <c r="F17" s="54" t="s">
        <v>1104</v>
      </c>
      <c r="G17" s="54" t="s">
        <v>1098</v>
      </c>
      <c r="H17" s="54" t="s">
        <v>1082</v>
      </c>
      <c r="I17" s="54" t="s">
        <v>51</v>
      </c>
    </row>
    <row r="18" spans="1:9" ht="15.75" customHeight="1">
      <c r="A18" s="54">
        <v>1</v>
      </c>
      <c r="B18" s="54">
        <v>1</v>
      </c>
      <c r="C18" s="54" t="s">
        <v>1095</v>
      </c>
      <c r="D18" s="54">
        <v>5</v>
      </c>
      <c r="E18" s="54" t="s">
        <v>1105</v>
      </c>
      <c r="F18" s="54" t="s">
        <v>1106</v>
      </c>
      <c r="G18" s="54" t="s">
        <v>1098</v>
      </c>
      <c r="H18" s="54" t="s">
        <v>1090</v>
      </c>
      <c r="I18" s="54" t="s">
        <v>51</v>
      </c>
    </row>
    <row r="19" spans="1:9" ht="15.75" customHeight="1">
      <c r="A19" s="54">
        <v>1</v>
      </c>
      <c r="B19" s="54">
        <v>1</v>
      </c>
      <c r="C19" s="54" t="s">
        <v>1095</v>
      </c>
      <c r="D19" s="54">
        <v>6</v>
      </c>
      <c r="E19" s="54" t="s">
        <v>1107</v>
      </c>
      <c r="F19" s="54" t="s">
        <v>1108</v>
      </c>
      <c r="G19" s="54" t="s">
        <v>1098</v>
      </c>
      <c r="H19" s="54" t="s">
        <v>1082</v>
      </c>
      <c r="I19" s="54" t="s">
        <v>51</v>
      </c>
    </row>
    <row r="20" spans="1:9" ht="15.75" customHeight="1">
      <c r="A20" s="54">
        <v>1</v>
      </c>
      <c r="B20" s="54">
        <v>1</v>
      </c>
      <c r="C20" s="54" t="s">
        <v>1109</v>
      </c>
      <c r="D20" s="54">
        <v>1</v>
      </c>
      <c r="E20" s="54" t="s">
        <v>1110</v>
      </c>
      <c r="F20" s="54" t="s">
        <v>1111</v>
      </c>
      <c r="G20" s="54" t="s">
        <v>1098</v>
      </c>
      <c r="H20" s="54" t="s">
        <v>12</v>
      </c>
      <c r="I20" s="54" t="s">
        <v>50</v>
      </c>
    </row>
    <row r="21" spans="1:9" ht="15.75" customHeight="1">
      <c r="A21" s="54">
        <v>1</v>
      </c>
      <c r="B21" s="54">
        <v>1</v>
      </c>
      <c r="C21" s="54" t="s">
        <v>1109</v>
      </c>
      <c r="D21" s="54">
        <v>2</v>
      </c>
      <c r="E21" s="54" t="s">
        <v>1112</v>
      </c>
      <c r="F21" s="54" t="s">
        <v>1113</v>
      </c>
      <c r="G21" s="54" t="s">
        <v>1098</v>
      </c>
      <c r="H21" s="54" t="s">
        <v>12</v>
      </c>
      <c r="I21" s="54" t="s">
        <v>50</v>
      </c>
    </row>
    <row r="22" spans="1:9" ht="15.75" customHeight="1">
      <c r="A22" s="54">
        <v>1</v>
      </c>
      <c r="B22" s="54">
        <v>1</v>
      </c>
      <c r="C22" s="54" t="s">
        <v>1109</v>
      </c>
      <c r="D22" s="54">
        <v>3</v>
      </c>
      <c r="E22" s="54" t="s">
        <v>1114</v>
      </c>
      <c r="F22" s="54" t="s">
        <v>1115</v>
      </c>
      <c r="G22" s="54" t="s">
        <v>1098</v>
      </c>
      <c r="H22" s="54" t="s">
        <v>12</v>
      </c>
      <c r="I22" s="54" t="s">
        <v>50</v>
      </c>
    </row>
    <row r="23" spans="1:9" ht="15.75" customHeight="1">
      <c r="A23" s="54">
        <v>1</v>
      </c>
      <c r="B23" s="54">
        <v>1</v>
      </c>
      <c r="C23" s="54" t="s">
        <v>1109</v>
      </c>
      <c r="D23" s="54">
        <v>4</v>
      </c>
      <c r="E23" s="54" t="s">
        <v>1116</v>
      </c>
      <c r="F23" s="54" t="s">
        <v>1117</v>
      </c>
      <c r="G23" s="54" t="s">
        <v>1098</v>
      </c>
      <c r="H23" s="54" t="s">
        <v>12</v>
      </c>
      <c r="I23" s="54" t="s">
        <v>50</v>
      </c>
    </row>
    <row r="24" spans="1:9" ht="15.75" customHeight="1">
      <c r="A24" s="54">
        <v>1</v>
      </c>
      <c r="B24" s="54">
        <v>1</v>
      </c>
      <c r="C24" s="54" t="s">
        <v>1109</v>
      </c>
      <c r="D24" s="54">
        <v>5</v>
      </c>
      <c r="E24" s="54" t="s">
        <v>1118</v>
      </c>
      <c r="F24" s="54" t="s">
        <v>1119</v>
      </c>
      <c r="G24" s="54" t="s">
        <v>1098</v>
      </c>
      <c r="H24" s="54" t="s">
        <v>12</v>
      </c>
      <c r="I24" s="54" t="s">
        <v>50</v>
      </c>
    </row>
    <row r="25" spans="1:9" ht="15.75" customHeight="1">
      <c r="A25" s="54">
        <v>1</v>
      </c>
      <c r="B25" s="54">
        <v>1</v>
      </c>
      <c r="C25" s="54" t="s">
        <v>1109</v>
      </c>
      <c r="D25" s="54">
        <v>6</v>
      </c>
      <c r="E25" s="54" t="s">
        <v>1120</v>
      </c>
      <c r="F25" s="54" t="s">
        <v>1121</v>
      </c>
      <c r="G25" s="54" t="s">
        <v>1098</v>
      </c>
      <c r="H25" s="54" t="s">
        <v>12</v>
      </c>
      <c r="I25" s="54" t="s">
        <v>50</v>
      </c>
    </row>
    <row r="26" spans="1:9" ht="15.75" customHeight="1">
      <c r="A26" s="54">
        <v>1</v>
      </c>
      <c r="B26" s="54">
        <v>1</v>
      </c>
      <c r="C26" s="54" t="s">
        <v>1122</v>
      </c>
      <c r="D26" s="54">
        <v>1</v>
      </c>
      <c r="E26" s="54" t="s">
        <v>1123</v>
      </c>
      <c r="F26" s="54" t="s">
        <v>1124</v>
      </c>
      <c r="G26" s="54" t="s">
        <v>1125</v>
      </c>
      <c r="H26" s="54" t="s">
        <v>24</v>
      </c>
      <c r="I26" s="54" t="s">
        <v>1083</v>
      </c>
    </row>
    <row r="27" spans="1:9" ht="15.75" customHeight="1">
      <c r="A27" s="54">
        <v>1</v>
      </c>
      <c r="B27" s="54">
        <v>1</v>
      </c>
      <c r="C27" s="54" t="s">
        <v>1122</v>
      </c>
      <c r="D27" s="54">
        <v>2</v>
      </c>
      <c r="E27" s="54" t="s">
        <v>1126</v>
      </c>
      <c r="F27" s="54" t="s">
        <v>1127</v>
      </c>
      <c r="G27" s="54" t="s">
        <v>1125</v>
      </c>
      <c r="H27" s="54" t="s">
        <v>1128</v>
      </c>
      <c r="I27" s="54" t="s">
        <v>1083</v>
      </c>
    </row>
    <row r="28" spans="1:9" ht="15.75" customHeight="1">
      <c r="A28" s="54">
        <v>1</v>
      </c>
      <c r="B28" s="54">
        <v>1</v>
      </c>
      <c r="C28" s="54" t="s">
        <v>1122</v>
      </c>
      <c r="D28" s="54">
        <v>3</v>
      </c>
      <c r="E28" s="54" t="s">
        <v>1129</v>
      </c>
      <c r="F28" s="54" t="s">
        <v>1130</v>
      </c>
      <c r="G28" s="54" t="s">
        <v>1125</v>
      </c>
      <c r="H28" s="54" t="s">
        <v>27</v>
      </c>
      <c r="I28" s="54" t="s">
        <v>1083</v>
      </c>
    </row>
    <row r="29" spans="1:9" ht="15.75" customHeight="1">
      <c r="A29" s="54">
        <v>1</v>
      </c>
      <c r="B29" s="54">
        <v>1</v>
      </c>
      <c r="C29" s="54" t="s">
        <v>1122</v>
      </c>
      <c r="D29" s="54">
        <v>4</v>
      </c>
      <c r="E29" s="54" t="s">
        <v>1131</v>
      </c>
      <c r="F29" s="54" t="s">
        <v>1132</v>
      </c>
      <c r="G29" s="54" t="s">
        <v>1125</v>
      </c>
      <c r="H29" s="54" t="s">
        <v>27</v>
      </c>
      <c r="I29" s="54" t="s">
        <v>1083</v>
      </c>
    </row>
    <row r="30" spans="1:9" ht="15.75" customHeight="1">
      <c r="A30" s="54">
        <v>1</v>
      </c>
      <c r="B30" s="54">
        <v>1</v>
      </c>
      <c r="C30" s="54" t="s">
        <v>1122</v>
      </c>
      <c r="D30" s="54">
        <v>5</v>
      </c>
      <c r="E30" s="54" t="s">
        <v>1133</v>
      </c>
      <c r="F30" s="54" t="s">
        <v>1134</v>
      </c>
      <c r="G30" s="54" t="s">
        <v>1125</v>
      </c>
      <c r="H30" s="54" t="s">
        <v>1135</v>
      </c>
      <c r="I30" s="54" t="s">
        <v>1083</v>
      </c>
    </row>
    <row r="31" spans="1:9" ht="15.75" customHeight="1">
      <c r="A31" s="54">
        <v>1</v>
      </c>
      <c r="B31" s="54">
        <v>1</v>
      </c>
      <c r="C31" s="54" t="s">
        <v>1122</v>
      </c>
      <c r="D31" s="54">
        <v>6</v>
      </c>
      <c r="E31" s="54" t="s">
        <v>1136</v>
      </c>
      <c r="F31" s="54" t="s">
        <v>1137</v>
      </c>
      <c r="G31" s="54" t="s">
        <v>1125</v>
      </c>
      <c r="H31" s="54" t="s">
        <v>24</v>
      </c>
      <c r="I31" s="54" t="s">
        <v>1083</v>
      </c>
    </row>
    <row r="32" spans="1:9" ht="15.75" customHeight="1">
      <c r="A32" s="54">
        <v>1</v>
      </c>
      <c r="B32" s="54">
        <v>1</v>
      </c>
      <c r="C32" s="54" t="s">
        <v>1138</v>
      </c>
      <c r="D32" s="54">
        <v>1</v>
      </c>
      <c r="E32" s="54" t="s">
        <v>1139</v>
      </c>
      <c r="F32" s="54" t="s">
        <v>1140</v>
      </c>
      <c r="G32" s="54" t="s">
        <v>1141</v>
      </c>
      <c r="H32" s="54" t="s">
        <v>27</v>
      </c>
      <c r="I32" s="54" t="s">
        <v>1083</v>
      </c>
    </row>
    <row r="33" spans="1:9" ht="15.75" customHeight="1">
      <c r="A33" s="54">
        <v>1</v>
      </c>
      <c r="B33" s="54">
        <v>1</v>
      </c>
      <c r="C33" s="54" t="s">
        <v>1138</v>
      </c>
      <c r="D33" s="54">
        <v>2</v>
      </c>
      <c r="E33" s="54" t="s">
        <v>1142</v>
      </c>
      <c r="F33" s="54" t="s">
        <v>1143</v>
      </c>
      <c r="G33" s="54" t="s">
        <v>1141</v>
      </c>
      <c r="H33" s="54" t="s">
        <v>27</v>
      </c>
      <c r="I33" s="54" t="s">
        <v>1083</v>
      </c>
    </row>
    <row r="34" spans="1:9" ht="15.75" customHeight="1">
      <c r="A34" s="54">
        <v>1</v>
      </c>
      <c r="B34" s="54">
        <v>1</v>
      </c>
      <c r="C34" s="54" t="s">
        <v>1138</v>
      </c>
      <c r="D34" s="54">
        <v>3</v>
      </c>
      <c r="E34" s="54" t="s">
        <v>1144</v>
      </c>
      <c r="F34" s="54" t="s">
        <v>1145</v>
      </c>
      <c r="G34" s="54" t="s">
        <v>1141</v>
      </c>
      <c r="H34" s="54" t="s">
        <v>27</v>
      </c>
      <c r="I34" s="54" t="s">
        <v>1083</v>
      </c>
    </row>
    <row r="35" spans="1:9" ht="15.75" customHeight="1">
      <c r="A35" s="54">
        <v>1</v>
      </c>
      <c r="B35" s="54">
        <v>1</v>
      </c>
      <c r="C35" s="54" t="s">
        <v>1138</v>
      </c>
      <c r="D35" s="54">
        <v>4</v>
      </c>
      <c r="E35" s="54" t="s">
        <v>1146</v>
      </c>
      <c r="F35" s="54" t="s">
        <v>1147</v>
      </c>
      <c r="G35" s="54" t="s">
        <v>1141</v>
      </c>
      <c r="H35" s="54" t="s">
        <v>27</v>
      </c>
      <c r="I35" s="54" t="s">
        <v>1083</v>
      </c>
    </row>
    <row r="36" spans="1:9" ht="15.75" customHeight="1">
      <c r="A36" s="54">
        <v>1</v>
      </c>
      <c r="B36" s="54">
        <v>1</v>
      </c>
      <c r="C36" s="54" t="s">
        <v>1138</v>
      </c>
      <c r="D36" s="54">
        <v>5</v>
      </c>
      <c r="E36" s="54" t="s">
        <v>1148</v>
      </c>
      <c r="F36" s="54" t="s">
        <v>1149</v>
      </c>
      <c r="G36" s="54" t="s">
        <v>1141</v>
      </c>
      <c r="H36" s="54" t="s">
        <v>1150</v>
      </c>
      <c r="I36" s="54" t="s">
        <v>1083</v>
      </c>
    </row>
    <row r="37" spans="1:9" ht="15.75" customHeight="1">
      <c r="A37" s="54">
        <v>1</v>
      </c>
      <c r="B37" s="54">
        <v>1</v>
      </c>
      <c r="C37" s="54" t="s">
        <v>1138</v>
      </c>
      <c r="D37" s="54">
        <v>6</v>
      </c>
      <c r="E37" s="54" t="s">
        <v>1151</v>
      </c>
      <c r="F37" s="54" t="s">
        <v>1152</v>
      </c>
      <c r="G37" s="54" t="s">
        <v>1141</v>
      </c>
      <c r="H37" s="54" t="s">
        <v>1153</v>
      </c>
      <c r="I37" s="54" t="s">
        <v>1083</v>
      </c>
    </row>
    <row r="38" spans="1:9" ht="15.75" customHeight="1">
      <c r="A38" s="54">
        <v>1</v>
      </c>
      <c r="B38" s="54">
        <v>2</v>
      </c>
      <c r="C38" s="54" t="s">
        <v>1154</v>
      </c>
      <c r="D38" s="54">
        <v>1</v>
      </c>
      <c r="E38" s="54" t="s">
        <v>1155</v>
      </c>
      <c r="F38" s="54" t="s">
        <v>1156</v>
      </c>
      <c r="G38" s="54" t="s">
        <v>1065</v>
      </c>
      <c r="H38" s="54" t="s">
        <v>1157</v>
      </c>
      <c r="I38" s="54" t="s">
        <v>52</v>
      </c>
    </row>
    <row r="39" spans="1:9" ht="15.75" customHeight="1">
      <c r="A39" s="54">
        <v>1</v>
      </c>
      <c r="B39" s="54">
        <v>2</v>
      </c>
      <c r="C39" s="54" t="s">
        <v>1154</v>
      </c>
      <c r="D39" s="54">
        <v>2</v>
      </c>
      <c r="E39" s="54" t="s">
        <v>1158</v>
      </c>
      <c r="F39" s="54" t="s">
        <v>1159</v>
      </c>
      <c r="G39" s="54" t="s">
        <v>1065</v>
      </c>
      <c r="H39" s="54" t="s">
        <v>1160</v>
      </c>
      <c r="I39" s="54" t="s">
        <v>52</v>
      </c>
    </row>
    <row r="40" spans="1:9" ht="15.75" customHeight="1">
      <c r="A40" s="54">
        <v>1</v>
      </c>
      <c r="B40" s="54">
        <v>2</v>
      </c>
      <c r="C40" s="54" t="s">
        <v>1154</v>
      </c>
      <c r="D40" s="54">
        <v>3</v>
      </c>
      <c r="E40" s="54" t="s">
        <v>1161</v>
      </c>
      <c r="F40" s="54" t="s">
        <v>1162</v>
      </c>
      <c r="G40" s="54" t="s">
        <v>1065</v>
      </c>
      <c r="H40" s="54" t="s">
        <v>1160</v>
      </c>
      <c r="I40" s="54" t="s">
        <v>52</v>
      </c>
    </row>
    <row r="41" spans="1:9" ht="15.75" customHeight="1">
      <c r="A41" s="54">
        <v>1</v>
      </c>
      <c r="B41" s="54">
        <v>2</v>
      </c>
      <c r="C41" s="54" t="s">
        <v>1154</v>
      </c>
      <c r="D41" s="54">
        <v>4</v>
      </c>
      <c r="E41" s="54" t="s">
        <v>1163</v>
      </c>
      <c r="F41" s="54" t="s">
        <v>1164</v>
      </c>
      <c r="G41" s="54" t="s">
        <v>1065</v>
      </c>
      <c r="H41" s="54" t="s">
        <v>1160</v>
      </c>
      <c r="I41" s="54" t="s">
        <v>52</v>
      </c>
    </row>
    <row r="42" spans="1:9" ht="15.75" customHeight="1">
      <c r="A42" s="54">
        <v>1</v>
      </c>
      <c r="B42" s="54">
        <v>2</v>
      </c>
      <c r="C42" s="54" t="s">
        <v>1154</v>
      </c>
      <c r="D42" s="54">
        <v>5</v>
      </c>
      <c r="E42" s="54" t="s">
        <v>1165</v>
      </c>
      <c r="F42" s="54" t="s">
        <v>1166</v>
      </c>
      <c r="G42" s="54" t="s">
        <v>1065</v>
      </c>
      <c r="H42" s="54" t="s">
        <v>1157</v>
      </c>
      <c r="I42" s="54" t="s">
        <v>52</v>
      </c>
    </row>
    <row r="43" spans="1:9" ht="15.75" customHeight="1">
      <c r="A43" s="54">
        <v>1</v>
      </c>
      <c r="B43" s="54">
        <v>2</v>
      </c>
      <c r="C43" s="54" t="s">
        <v>1154</v>
      </c>
      <c r="D43" s="54">
        <v>6</v>
      </c>
      <c r="E43" s="54" t="s">
        <v>1167</v>
      </c>
      <c r="F43" s="54" t="s">
        <v>1168</v>
      </c>
      <c r="G43" s="54" t="s">
        <v>1065</v>
      </c>
      <c r="H43" s="54" t="s">
        <v>1169</v>
      </c>
      <c r="I43" s="54" t="s">
        <v>52</v>
      </c>
    </row>
    <row r="44" spans="1:9" ht="15.75" customHeight="1">
      <c r="A44" s="54">
        <v>1</v>
      </c>
      <c r="B44" s="54">
        <v>2</v>
      </c>
      <c r="C44" s="54" t="s">
        <v>1170</v>
      </c>
      <c r="D44" s="54">
        <v>1</v>
      </c>
      <c r="E44" s="54" t="s">
        <v>1171</v>
      </c>
      <c r="F44" s="54" t="s">
        <v>1172</v>
      </c>
      <c r="G44" s="54" t="s">
        <v>1065</v>
      </c>
      <c r="H44" s="54" t="s">
        <v>1173</v>
      </c>
      <c r="I44" s="54" t="s">
        <v>53</v>
      </c>
    </row>
    <row r="45" spans="1:9" ht="15.75" customHeight="1">
      <c r="A45" s="54">
        <v>1</v>
      </c>
      <c r="B45" s="54">
        <v>2</v>
      </c>
      <c r="C45" s="54" t="s">
        <v>1170</v>
      </c>
      <c r="D45" s="54">
        <v>2</v>
      </c>
      <c r="E45" s="54" t="s">
        <v>1174</v>
      </c>
      <c r="F45" s="54" t="s">
        <v>1175</v>
      </c>
      <c r="G45" s="54" t="s">
        <v>1065</v>
      </c>
      <c r="H45" s="54" t="s">
        <v>1176</v>
      </c>
      <c r="I45" s="54" t="s">
        <v>53</v>
      </c>
    </row>
    <row r="46" spans="1:9" ht="15.75" customHeight="1">
      <c r="A46" s="54">
        <v>1</v>
      </c>
      <c r="B46" s="54">
        <v>2</v>
      </c>
      <c r="C46" s="54" t="s">
        <v>1170</v>
      </c>
      <c r="D46" s="54">
        <v>3</v>
      </c>
      <c r="E46" s="54" t="s">
        <v>1177</v>
      </c>
      <c r="F46" s="54" t="s">
        <v>1178</v>
      </c>
      <c r="G46" s="54" t="s">
        <v>1065</v>
      </c>
      <c r="H46" s="54" t="s">
        <v>1179</v>
      </c>
      <c r="I46" s="54" t="s">
        <v>53</v>
      </c>
    </row>
    <row r="47" spans="1:9" ht="15.75" customHeight="1">
      <c r="A47" s="54">
        <v>1</v>
      </c>
      <c r="B47" s="54">
        <v>2</v>
      </c>
      <c r="C47" s="54" t="s">
        <v>1170</v>
      </c>
      <c r="D47" s="54">
        <v>4</v>
      </c>
      <c r="E47" s="54" t="s">
        <v>1180</v>
      </c>
      <c r="F47" s="54" t="s">
        <v>1181</v>
      </c>
      <c r="G47" s="54" t="s">
        <v>1065</v>
      </c>
      <c r="H47" s="54" t="s">
        <v>1090</v>
      </c>
      <c r="I47" s="54" t="s">
        <v>53</v>
      </c>
    </row>
    <row r="48" spans="1:9" ht="13">
      <c r="A48" s="54">
        <v>1</v>
      </c>
      <c r="B48" s="54">
        <v>2</v>
      </c>
      <c r="C48" s="54" t="s">
        <v>1170</v>
      </c>
      <c r="D48" s="54">
        <v>5</v>
      </c>
      <c r="E48" s="54" t="s">
        <v>1182</v>
      </c>
      <c r="F48" s="54" t="s">
        <v>1183</v>
      </c>
      <c r="G48" s="54" t="s">
        <v>1065</v>
      </c>
      <c r="H48" s="54" t="s">
        <v>1082</v>
      </c>
      <c r="I48" s="54" t="s">
        <v>53</v>
      </c>
    </row>
    <row r="49" spans="1:9" ht="13">
      <c r="A49" s="54">
        <v>1</v>
      </c>
      <c r="B49" s="54">
        <v>2</v>
      </c>
      <c r="C49" s="54" t="s">
        <v>1170</v>
      </c>
      <c r="D49" s="54">
        <v>6</v>
      </c>
      <c r="E49" s="54" t="s">
        <v>1184</v>
      </c>
      <c r="F49" s="54" t="s">
        <v>1185</v>
      </c>
      <c r="G49" s="54" t="s">
        <v>1065</v>
      </c>
      <c r="H49" s="54" t="s">
        <v>1082</v>
      </c>
      <c r="I49" s="54" t="s">
        <v>53</v>
      </c>
    </row>
    <row r="50" spans="1:9" ht="13">
      <c r="A50" s="54">
        <v>1</v>
      </c>
      <c r="B50" s="54">
        <v>2</v>
      </c>
      <c r="C50" s="54" t="s">
        <v>1186</v>
      </c>
      <c r="D50" s="54">
        <v>1</v>
      </c>
      <c r="E50" s="54" t="s">
        <v>1187</v>
      </c>
      <c r="F50" s="54" t="s">
        <v>1188</v>
      </c>
      <c r="G50" s="54">
        <v>1.4</v>
      </c>
      <c r="H50" s="54" t="s">
        <v>9</v>
      </c>
      <c r="I50" s="54" t="s">
        <v>50</v>
      </c>
    </row>
    <row r="51" spans="1:9" ht="13">
      <c r="A51" s="54">
        <v>1</v>
      </c>
      <c r="B51" s="54">
        <v>2</v>
      </c>
      <c r="C51" s="54" t="s">
        <v>1186</v>
      </c>
      <c r="D51" s="54">
        <v>2</v>
      </c>
      <c r="E51" s="54" t="s">
        <v>1189</v>
      </c>
      <c r="F51" s="54" t="s">
        <v>1190</v>
      </c>
      <c r="G51" s="54">
        <v>1.4</v>
      </c>
      <c r="H51" s="54" t="s">
        <v>9</v>
      </c>
      <c r="I51" s="54" t="s">
        <v>50</v>
      </c>
    </row>
    <row r="52" spans="1:9" ht="13">
      <c r="A52" s="54">
        <v>1</v>
      </c>
      <c r="B52" s="54">
        <v>2</v>
      </c>
      <c r="C52" s="54" t="s">
        <v>1186</v>
      </c>
      <c r="D52" s="54">
        <v>3</v>
      </c>
      <c r="E52" s="54" t="s">
        <v>1191</v>
      </c>
      <c r="F52" s="54" t="s">
        <v>1192</v>
      </c>
      <c r="G52" s="54">
        <v>1.4</v>
      </c>
      <c r="H52" s="54" t="s">
        <v>1193</v>
      </c>
      <c r="I52" s="54" t="s">
        <v>50</v>
      </c>
    </row>
    <row r="53" spans="1:9" ht="13">
      <c r="A53" s="54">
        <v>1</v>
      </c>
      <c r="B53" s="54">
        <v>2</v>
      </c>
      <c r="C53" s="54" t="s">
        <v>1186</v>
      </c>
      <c r="D53" s="54">
        <v>4</v>
      </c>
      <c r="E53" s="54" t="s">
        <v>1191</v>
      </c>
      <c r="F53" s="54" t="s">
        <v>1192</v>
      </c>
      <c r="G53" s="54">
        <v>1.4</v>
      </c>
      <c r="H53" s="54" t="s">
        <v>1193</v>
      </c>
      <c r="I53" s="54" t="s">
        <v>50</v>
      </c>
    </row>
    <row r="54" spans="1:9" ht="13">
      <c r="A54" s="54">
        <v>1</v>
      </c>
      <c r="B54" s="54">
        <v>2</v>
      </c>
      <c r="C54" s="54" t="s">
        <v>1186</v>
      </c>
      <c r="D54" s="54">
        <v>5</v>
      </c>
      <c r="E54" s="54" t="s">
        <v>1194</v>
      </c>
      <c r="F54" s="54" t="s">
        <v>1195</v>
      </c>
      <c r="G54" s="54">
        <v>1.4</v>
      </c>
      <c r="H54" s="54" t="s">
        <v>1090</v>
      </c>
      <c r="I54" s="54" t="s">
        <v>50</v>
      </c>
    </row>
    <row r="55" spans="1:9" ht="13">
      <c r="A55" s="54">
        <v>1</v>
      </c>
      <c r="B55" s="54">
        <v>2</v>
      </c>
      <c r="C55" s="54" t="s">
        <v>1186</v>
      </c>
      <c r="D55" s="54">
        <v>6</v>
      </c>
      <c r="E55" s="54" t="s">
        <v>1196</v>
      </c>
      <c r="F55" s="54" t="s">
        <v>1197</v>
      </c>
      <c r="G55" s="54">
        <v>1.4</v>
      </c>
      <c r="H55" s="54" t="s">
        <v>1082</v>
      </c>
      <c r="I55" s="54" t="s">
        <v>50</v>
      </c>
    </row>
    <row r="56" spans="1:9" ht="13">
      <c r="A56" s="54">
        <v>1</v>
      </c>
      <c r="B56" s="54">
        <v>2</v>
      </c>
      <c r="C56" s="54" t="s">
        <v>1198</v>
      </c>
      <c r="D56" s="54">
        <v>1</v>
      </c>
      <c r="E56" s="54" t="s">
        <v>1199</v>
      </c>
      <c r="F56" s="54" t="s">
        <v>1200</v>
      </c>
      <c r="G56" s="54" t="s">
        <v>1098</v>
      </c>
      <c r="H56" s="54" t="s">
        <v>12</v>
      </c>
      <c r="I56" s="54" t="s">
        <v>1201</v>
      </c>
    </row>
    <row r="57" spans="1:9" ht="13">
      <c r="A57" s="54">
        <v>1</v>
      </c>
      <c r="B57" s="54">
        <v>2</v>
      </c>
      <c r="C57" s="54" t="s">
        <v>1198</v>
      </c>
      <c r="D57" s="54">
        <v>2</v>
      </c>
      <c r="E57" s="54" t="s">
        <v>1202</v>
      </c>
      <c r="F57" s="54" t="s">
        <v>1203</v>
      </c>
      <c r="G57" s="54" t="s">
        <v>1098</v>
      </c>
      <c r="H57" s="54" t="s">
        <v>1204</v>
      </c>
      <c r="I57" s="54" t="s">
        <v>1201</v>
      </c>
    </row>
    <row r="58" spans="1:9" ht="13">
      <c r="A58" s="54">
        <v>1</v>
      </c>
      <c r="B58" s="54">
        <v>2</v>
      </c>
      <c r="C58" s="54" t="s">
        <v>1198</v>
      </c>
      <c r="D58" s="54">
        <v>3</v>
      </c>
      <c r="E58" s="54" t="s">
        <v>1205</v>
      </c>
      <c r="F58" s="54" t="s">
        <v>1206</v>
      </c>
      <c r="G58" s="54" t="s">
        <v>1098</v>
      </c>
      <c r="H58" s="54" t="s">
        <v>1204</v>
      </c>
      <c r="I58" s="54" t="s">
        <v>1201</v>
      </c>
    </row>
    <row r="59" spans="1:9" ht="13">
      <c r="A59" s="54">
        <v>1</v>
      </c>
      <c r="B59" s="54">
        <v>2</v>
      </c>
      <c r="C59" s="54" t="s">
        <v>1198</v>
      </c>
      <c r="D59" s="54">
        <v>4</v>
      </c>
      <c r="E59" s="54" t="s">
        <v>1207</v>
      </c>
      <c r="F59" s="54" t="s">
        <v>1208</v>
      </c>
      <c r="G59" s="54" t="s">
        <v>1098</v>
      </c>
      <c r="H59" s="54" t="s">
        <v>1204</v>
      </c>
      <c r="I59" s="54" t="s">
        <v>1201</v>
      </c>
    </row>
    <row r="60" spans="1:9" ht="13">
      <c r="A60" s="54">
        <v>1</v>
      </c>
      <c r="B60" s="54">
        <v>2</v>
      </c>
      <c r="C60" s="54" t="s">
        <v>1198</v>
      </c>
      <c r="D60" s="54">
        <v>5</v>
      </c>
      <c r="E60" s="54" t="s">
        <v>1209</v>
      </c>
      <c r="F60" s="54" t="s">
        <v>1210</v>
      </c>
      <c r="G60" s="54" t="s">
        <v>1098</v>
      </c>
      <c r="H60" s="54" t="s">
        <v>1204</v>
      </c>
      <c r="I60" s="54" t="s">
        <v>1201</v>
      </c>
    </row>
    <row r="61" spans="1:9" ht="13">
      <c r="A61" s="54">
        <v>1</v>
      </c>
      <c r="B61" s="54">
        <v>2</v>
      </c>
      <c r="C61" s="54" t="s">
        <v>1198</v>
      </c>
      <c r="D61" s="54">
        <v>6</v>
      </c>
      <c r="E61" s="54" t="s">
        <v>1211</v>
      </c>
      <c r="F61" s="54" t="s">
        <v>1212</v>
      </c>
      <c r="G61" s="54" t="s">
        <v>1098</v>
      </c>
      <c r="H61" s="54" t="s">
        <v>1213</v>
      </c>
      <c r="I61" s="54" t="s">
        <v>1201</v>
      </c>
    </row>
    <row r="62" spans="1:9" ht="13">
      <c r="A62" s="54">
        <v>1</v>
      </c>
      <c r="B62" s="54">
        <v>2</v>
      </c>
      <c r="C62" s="54" t="s">
        <v>1214</v>
      </c>
      <c r="D62" s="54">
        <v>1</v>
      </c>
      <c r="E62" s="54" t="s">
        <v>1215</v>
      </c>
      <c r="F62" s="54" t="s">
        <v>1216</v>
      </c>
      <c r="G62" s="54" t="s">
        <v>1141</v>
      </c>
      <c r="H62" s="54" t="s">
        <v>24</v>
      </c>
      <c r="I62" s="54" t="s">
        <v>1083</v>
      </c>
    </row>
    <row r="63" spans="1:9" ht="13">
      <c r="A63" s="54">
        <v>1</v>
      </c>
      <c r="B63" s="54">
        <v>2</v>
      </c>
      <c r="C63" s="54" t="s">
        <v>1214</v>
      </c>
      <c r="D63" s="54">
        <v>2</v>
      </c>
      <c r="E63" s="54" t="s">
        <v>1217</v>
      </c>
      <c r="F63" s="54" t="s">
        <v>1218</v>
      </c>
      <c r="G63" s="54" t="s">
        <v>1141</v>
      </c>
      <c r="H63" s="54" t="s">
        <v>24</v>
      </c>
      <c r="I63" s="54" t="s">
        <v>1083</v>
      </c>
    </row>
    <row r="64" spans="1:9" ht="13">
      <c r="A64" s="54">
        <v>1</v>
      </c>
      <c r="B64" s="54">
        <v>2</v>
      </c>
      <c r="C64" s="54" t="s">
        <v>1214</v>
      </c>
      <c r="D64" s="54">
        <v>3</v>
      </c>
      <c r="E64" s="54" t="s">
        <v>1219</v>
      </c>
      <c r="F64" s="54" t="s">
        <v>1220</v>
      </c>
      <c r="G64" s="54" t="s">
        <v>1141</v>
      </c>
      <c r="H64" s="54" t="s">
        <v>1221</v>
      </c>
      <c r="I64" s="54" t="s">
        <v>1083</v>
      </c>
    </row>
    <row r="65" spans="1:9" ht="13">
      <c r="A65" s="54">
        <v>1</v>
      </c>
      <c r="B65" s="54">
        <v>2</v>
      </c>
      <c r="C65" s="54" t="s">
        <v>1214</v>
      </c>
      <c r="D65" s="54">
        <v>4</v>
      </c>
      <c r="E65" s="54" t="s">
        <v>1222</v>
      </c>
      <c r="F65" s="54" t="s">
        <v>1223</v>
      </c>
      <c r="G65" s="54" t="s">
        <v>1141</v>
      </c>
      <c r="H65" s="54" t="s">
        <v>1153</v>
      </c>
      <c r="I65" s="54" t="s">
        <v>1083</v>
      </c>
    </row>
    <row r="66" spans="1:9" ht="13">
      <c r="A66" s="54">
        <v>1</v>
      </c>
      <c r="B66" s="54">
        <v>2</v>
      </c>
      <c r="C66" s="54" t="s">
        <v>1214</v>
      </c>
      <c r="D66" s="54">
        <v>5</v>
      </c>
      <c r="E66" s="54" t="s">
        <v>1224</v>
      </c>
      <c r="F66" s="54" t="s">
        <v>1225</v>
      </c>
      <c r="G66" s="54" t="s">
        <v>1141</v>
      </c>
      <c r="H66" s="54" t="s">
        <v>1135</v>
      </c>
      <c r="I66" s="54" t="s">
        <v>1083</v>
      </c>
    </row>
    <row r="67" spans="1:9" ht="13">
      <c r="A67" s="54">
        <v>1</v>
      </c>
      <c r="B67" s="54">
        <v>2</v>
      </c>
      <c r="C67" s="54" t="s">
        <v>1214</v>
      </c>
      <c r="D67" s="54">
        <v>6</v>
      </c>
      <c r="E67" s="54" t="s">
        <v>1226</v>
      </c>
      <c r="F67" s="54" t="s">
        <v>1227</v>
      </c>
      <c r="G67" s="54" t="s">
        <v>1141</v>
      </c>
      <c r="H67" s="54" t="s">
        <v>1153</v>
      </c>
      <c r="I67" s="54" t="s">
        <v>1083</v>
      </c>
    </row>
    <row r="68" spans="1:9" ht="13">
      <c r="A68" s="54">
        <v>1</v>
      </c>
      <c r="B68" s="54">
        <v>2</v>
      </c>
      <c r="C68" s="54" t="s">
        <v>1228</v>
      </c>
      <c r="D68" s="54">
        <v>1</v>
      </c>
      <c r="E68" s="54" t="s">
        <v>1229</v>
      </c>
      <c r="F68" s="54" t="s">
        <v>1230</v>
      </c>
      <c r="G68" s="54" t="s">
        <v>1231</v>
      </c>
      <c r="H68" s="54" t="s">
        <v>27</v>
      </c>
      <c r="I68" s="54" t="s">
        <v>1083</v>
      </c>
    </row>
    <row r="69" spans="1:9" ht="13">
      <c r="A69" s="54">
        <v>1</v>
      </c>
      <c r="B69" s="54">
        <v>2</v>
      </c>
      <c r="C69" s="54" t="s">
        <v>1228</v>
      </c>
      <c r="D69" s="54">
        <v>2</v>
      </c>
      <c r="E69" s="54" t="s">
        <v>1232</v>
      </c>
      <c r="F69" s="54" t="s">
        <v>1233</v>
      </c>
      <c r="G69" s="54" t="s">
        <v>1231</v>
      </c>
      <c r="H69" s="54" t="s">
        <v>27</v>
      </c>
      <c r="I69" s="54" t="s">
        <v>1083</v>
      </c>
    </row>
    <row r="70" spans="1:9" ht="13">
      <c r="A70" s="54">
        <v>1</v>
      </c>
      <c r="B70" s="54">
        <v>2</v>
      </c>
      <c r="C70" s="54" t="s">
        <v>1228</v>
      </c>
      <c r="D70" s="54">
        <v>3</v>
      </c>
      <c r="E70" s="54" t="s">
        <v>1234</v>
      </c>
      <c r="F70" s="54" t="s">
        <v>1235</v>
      </c>
      <c r="G70" s="54" t="s">
        <v>1231</v>
      </c>
      <c r="H70" s="54" t="s">
        <v>1150</v>
      </c>
      <c r="I70" s="54" t="s">
        <v>1083</v>
      </c>
    </row>
    <row r="71" spans="1:9" ht="13">
      <c r="A71" s="54">
        <v>1</v>
      </c>
      <c r="B71" s="54">
        <v>2</v>
      </c>
      <c r="C71" s="54" t="s">
        <v>1228</v>
      </c>
      <c r="D71" s="54">
        <v>4</v>
      </c>
      <c r="E71" s="54" t="s">
        <v>1236</v>
      </c>
      <c r="F71" s="54" t="s">
        <v>1237</v>
      </c>
      <c r="G71" s="54" t="s">
        <v>1231</v>
      </c>
      <c r="H71" s="54" t="s">
        <v>1150</v>
      </c>
      <c r="I71" s="54" t="s">
        <v>1083</v>
      </c>
    </row>
    <row r="72" spans="1:9" ht="13">
      <c r="A72" s="54">
        <v>1</v>
      </c>
      <c r="B72" s="54">
        <v>2</v>
      </c>
      <c r="C72" s="54" t="s">
        <v>1228</v>
      </c>
      <c r="D72" s="54">
        <v>5</v>
      </c>
      <c r="E72" s="54" t="s">
        <v>1238</v>
      </c>
      <c r="F72" s="54" t="s">
        <v>1239</v>
      </c>
      <c r="G72" s="54" t="s">
        <v>1231</v>
      </c>
      <c r="H72" s="54" t="s">
        <v>1150</v>
      </c>
      <c r="I72" s="54" t="s">
        <v>1083</v>
      </c>
    </row>
    <row r="73" spans="1:9" ht="13">
      <c r="A73" s="54">
        <v>1</v>
      </c>
      <c r="B73" s="54">
        <v>2</v>
      </c>
      <c r="C73" s="54" t="s">
        <v>1228</v>
      </c>
      <c r="D73" s="54">
        <v>6</v>
      </c>
      <c r="E73" s="54" t="s">
        <v>1240</v>
      </c>
      <c r="F73" s="54" t="s">
        <v>1241</v>
      </c>
      <c r="G73" s="54" t="s">
        <v>1231</v>
      </c>
      <c r="H73" s="54" t="s">
        <v>1150</v>
      </c>
      <c r="I73" s="54" t="s">
        <v>1083</v>
      </c>
    </row>
    <row r="78" spans="1:9" ht="112">
      <c r="F78" s="13" t="s">
        <v>1241</v>
      </c>
    </row>
  </sheetData>
  <conditionalFormatting sqref="F78">
    <cfRule type="expression" dxfId="1" priority="1">
      <formula>$Y78=1</formula>
    </cfRule>
  </conditionalFormatting>
  <conditionalFormatting sqref="F78">
    <cfRule type="expression" dxfId="0" priority="2">
      <formula>$Y78=0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I145"/>
  <sheetViews>
    <sheetView workbookViewId="0"/>
  </sheetViews>
  <sheetFormatPr baseColWidth="10" defaultColWidth="12.6640625" defaultRowHeight="15.75" customHeight="1"/>
  <sheetData>
    <row r="1" spans="1:9" ht="15.75" customHeight="1">
      <c r="A1" s="54" t="s">
        <v>1056</v>
      </c>
      <c r="B1" s="54" t="s">
        <v>1057</v>
      </c>
      <c r="C1" s="54" t="s">
        <v>1058</v>
      </c>
      <c r="D1" s="54" t="s">
        <v>1059</v>
      </c>
      <c r="E1" s="54" t="s">
        <v>1060</v>
      </c>
      <c r="F1" s="54" t="s">
        <v>1061</v>
      </c>
      <c r="G1" s="54" t="s">
        <v>1061</v>
      </c>
      <c r="H1" s="54" t="s">
        <v>1061</v>
      </c>
      <c r="I1" s="54" t="s">
        <v>1061</v>
      </c>
    </row>
    <row r="2" spans="1:9" ht="15.75" customHeight="1">
      <c r="A2" s="54">
        <v>2</v>
      </c>
      <c r="B2" s="54">
        <v>3</v>
      </c>
      <c r="C2" s="54" t="s">
        <v>1242</v>
      </c>
      <c r="D2" s="54">
        <v>1</v>
      </c>
      <c r="E2" s="54" t="s">
        <v>1243</v>
      </c>
      <c r="F2" s="54" t="s">
        <v>1244</v>
      </c>
      <c r="G2" s="54" t="s">
        <v>1245</v>
      </c>
      <c r="H2" s="54" t="s">
        <v>18</v>
      </c>
      <c r="I2" s="54" t="s">
        <v>1083</v>
      </c>
    </row>
    <row r="3" spans="1:9" ht="15.75" customHeight="1">
      <c r="A3" s="54">
        <v>2</v>
      </c>
      <c r="B3" s="54">
        <v>3</v>
      </c>
      <c r="C3" s="54" t="s">
        <v>1242</v>
      </c>
      <c r="D3" s="54">
        <v>2</v>
      </c>
      <c r="E3" s="54" t="s">
        <v>1246</v>
      </c>
      <c r="F3" s="54" t="s">
        <v>1247</v>
      </c>
      <c r="G3" s="54" t="s">
        <v>1245</v>
      </c>
      <c r="H3" s="54" t="s">
        <v>18</v>
      </c>
      <c r="I3" s="54" t="s">
        <v>1083</v>
      </c>
    </row>
    <row r="4" spans="1:9" ht="15.75" customHeight="1">
      <c r="A4" s="54">
        <v>2</v>
      </c>
      <c r="B4" s="54">
        <v>3</v>
      </c>
      <c r="C4" s="54" t="s">
        <v>1242</v>
      </c>
      <c r="D4" s="54">
        <v>3</v>
      </c>
      <c r="E4" s="54" t="s">
        <v>1248</v>
      </c>
      <c r="F4" s="54" t="s">
        <v>1249</v>
      </c>
      <c r="G4" s="54" t="s">
        <v>1245</v>
      </c>
      <c r="H4" s="54" t="s">
        <v>1066</v>
      </c>
      <c r="I4" s="54" t="s">
        <v>1083</v>
      </c>
    </row>
    <row r="5" spans="1:9" ht="15.75" customHeight="1">
      <c r="A5" s="54">
        <v>2</v>
      </c>
      <c r="B5" s="54">
        <v>3</v>
      </c>
      <c r="C5" s="54" t="s">
        <v>1242</v>
      </c>
      <c r="D5" s="54">
        <v>4</v>
      </c>
      <c r="E5" s="54" t="s">
        <v>1250</v>
      </c>
      <c r="F5" s="54" t="s">
        <v>1251</v>
      </c>
      <c r="G5" s="54" t="s">
        <v>1245</v>
      </c>
      <c r="H5" s="54" t="s">
        <v>1252</v>
      </c>
      <c r="I5" s="54" t="s">
        <v>1083</v>
      </c>
    </row>
    <row r="6" spans="1:9" ht="15.75" customHeight="1">
      <c r="A6" s="54">
        <v>2</v>
      </c>
      <c r="B6" s="54">
        <v>3</v>
      </c>
      <c r="C6" s="54" t="s">
        <v>1242</v>
      </c>
      <c r="D6" s="54">
        <v>5</v>
      </c>
      <c r="E6" s="54" t="s">
        <v>1253</v>
      </c>
      <c r="F6" s="54" t="s">
        <v>1254</v>
      </c>
      <c r="G6" s="54" t="s">
        <v>1245</v>
      </c>
      <c r="H6" s="54" t="s">
        <v>1252</v>
      </c>
      <c r="I6" s="54" t="s">
        <v>1083</v>
      </c>
    </row>
    <row r="7" spans="1:9" ht="15.75" customHeight="1">
      <c r="A7" s="54">
        <v>2</v>
      </c>
      <c r="B7" s="54">
        <v>3</v>
      </c>
      <c r="C7" s="54" t="s">
        <v>1242</v>
      </c>
      <c r="D7" s="54">
        <v>6</v>
      </c>
      <c r="E7" s="54" t="s">
        <v>1255</v>
      </c>
      <c r="F7" s="54" t="s">
        <v>1256</v>
      </c>
      <c r="G7" s="54" t="s">
        <v>1245</v>
      </c>
      <c r="H7" s="54" t="s">
        <v>1252</v>
      </c>
      <c r="I7" s="54" t="s">
        <v>1083</v>
      </c>
    </row>
    <row r="8" spans="1:9" ht="15.75" customHeight="1">
      <c r="A8" s="54">
        <v>2</v>
      </c>
      <c r="B8" s="54">
        <v>3</v>
      </c>
      <c r="C8" s="54" t="s">
        <v>1257</v>
      </c>
      <c r="D8" s="54">
        <v>1</v>
      </c>
      <c r="E8" s="54" t="s">
        <v>1258</v>
      </c>
      <c r="F8" s="54" t="s">
        <v>1259</v>
      </c>
      <c r="G8" s="54" t="s">
        <v>1260</v>
      </c>
      <c r="H8" s="54" t="s">
        <v>1082</v>
      </c>
      <c r="I8" s="54" t="s">
        <v>54</v>
      </c>
    </row>
    <row r="9" spans="1:9" ht="15.75" customHeight="1">
      <c r="A9" s="54">
        <v>2</v>
      </c>
      <c r="B9" s="54">
        <v>3</v>
      </c>
      <c r="C9" s="54" t="s">
        <v>1257</v>
      </c>
      <c r="D9" s="54">
        <v>2</v>
      </c>
      <c r="E9" s="54" t="s">
        <v>1261</v>
      </c>
      <c r="F9" s="54" t="s">
        <v>1262</v>
      </c>
      <c r="G9" s="54" t="s">
        <v>1260</v>
      </c>
      <c r="H9" s="54" t="s">
        <v>1082</v>
      </c>
      <c r="I9" s="54" t="s">
        <v>54</v>
      </c>
    </row>
    <row r="10" spans="1:9" ht="15.75" customHeight="1">
      <c r="A10" s="54">
        <v>2</v>
      </c>
      <c r="B10" s="54">
        <v>3</v>
      </c>
      <c r="C10" s="54" t="s">
        <v>1257</v>
      </c>
      <c r="D10" s="54">
        <v>3</v>
      </c>
      <c r="E10" s="54" t="s">
        <v>1263</v>
      </c>
      <c r="F10" s="54" t="s">
        <v>1264</v>
      </c>
      <c r="G10" s="54" t="s">
        <v>1260</v>
      </c>
      <c r="H10" s="54" t="s">
        <v>1179</v>
      </c>
      <c r="I10" s="54" t="s">
        <v>54</v>
      </c>
    </row>
    <row r="11" spans="1:9" ht="15.75" customHeight="1">
      <c r="A11" s="54">
        <v>2</v>
      </c>
      <c r="B11" s="54">
        <v>3</v>
      </c>
      <c r="C11" s="54" t="s">
        <v>1257</v>
      </c>
      <c r="D11" s="54">
        <v>4</v>
      </c>
      <c r="E11" s="54" t="s">
        <v>1265</v>
      </c>
      <c r="F11" s="54" t="s">
        <v>1266</v>
      </c>
      <c r="G11" s="54" t="s">
        <v>1260</v>
      </c>
      <c r="H11" s="54" t="s">
        <v>1090</v>
      </c>
      <c r="I11" s="54" t="s">
        <v>54</v>
      </c>
    </row>
    <row r="12" spans="1:9" ht="15.75" customHeight="1">
      <c r="A12" s="54">
        <v>2</v>
      </c>
      <c r="B12" s="54">
        <v>3</v>
      </c>
      <c r="C12" s="54" t="s">
        <v>1257</v>
      </c>
      <c r="D12" s="54">
        <v>5</v>
      </c>
      <c r="E12" s="54" t="s">
        <v>1267</v>
      </c>
      <c r="F12" s="54" t="s">
        <v>1268</v>
      </c>
      <c r="G12" s="54" t="s">
        <v>1260</v>
      </c>
      <c r="H12" s="54" t="s">
        <v>1090</v>
      </c>
      <c r="I12" s="54" t="s">
        <v>54</v>
      </c>
    </row>
    <row r="13" spans="1:9" ht="15.75" customHeight="1">
      <c r="A13" s="54">
        <v>2</v>
      </c>
      <c r="B13" s="54">
        <v>3</v>
      </c>
      <c r="C13" s="54" t="s">
        <v>1257</v>
      </c>
      <c r="D13" s="54">
        <v>6</v>
      </c>
      <c r="E13" s="54" t="s">
        <v>1269</v>
      </c>
      <c r="F13" s="54" t="s">
        <v>1270</v>
      </c>
      <c r="G13" s="54" t="s">
        <v>1260</v>
      </c>
      <c r="H13" s="54" t="s">
        <v>1090</v>
      </c>
      <c r="I13" s="54" t="s">
        <v>54</v>
      </c>
    </row>
    <row r="14" spans="1:9" ht="15.75" customHeight="1">
      <c r="A14" s="54">
        <v>2</v>
      </c>
      <c r="B14" s="54">
        <v>3</v>
      </c>
      <c r="C14" s="54" t="s">
        <v>1271</v>
      </c>
      <c r="D14" s="54">
        <v>1</v>
      </c>
      <c r="E14" s="54" t="s">
        <v>1272</v>
      </c>
      <c r="F14" s="54" t="s">
        <v>1273</v>
      </c>
      <c r="G14" s="54" t="s">
        <v>1274</v>
      </c>
      <c r="H14" s="54" t="s">
        <v>9</v>
      </c>
      <c r="I14" s="54" t="s">
        <v>54</v>
      </c>
    </row>
    <row r="15" spans="1:9" ht="15.75" customHeight="1">
      <c r="A15" s="54">
        <v>2</v>
      </c>
      <c r="B15" s="54">
        <v>3</v>
      </c>
      <c r="C15" s="54" t="s">
        <v>1271</v>
      </c>
      <c r="D15" s="54">
        <v>2</v>
      </c>
      <c r="E15" s="54" t="s">
        <v>1275</v>
      </c>
      <c r="F15" s="54" t="s">
        <v>1276</v>
      </c>
      <c r="G15" s="54" t="s">
        <v>1274</v>
      </c>
      <c r="H15" s="54" t="s">
        <v>1082</v>
      </c>
      <c r="I15" s="54" t="s">
        <v>54</v>
      </c>
    </row>
    <row r="16" spans="1:9" ht="15.75" customHeight="1">
      <c r="A16" s="54">
        <v>2</v>
      </c>
      <c r="B16" s="54">
        <v>3</v>
      </c>
      <c r="C16" s="54" t="s">
        <v>1271</v>
      </c>
      <c r="D16" s="54">
        <v>3</v>
      </c>
      <c r="E16" s="54" t="s">
        <v>1277</v>
      </c>
      <c r="F16" s="54" t="s">
        <v>1278</v>
      </c>
      <c r="G16" s="54" t="s">
        <v>1274</v>
      </c>
      <c r="H16" s="54" t="s">
        <v>1082</v>
      </c>
      <c r="I16" s="54" t="s">
        <v>54</v>
      </c>
    </row>
    <row r="17" spans="1:9" ht="15.75" customHeight="1">
      <c r="A17" s="54">
        <v>2</v>
      </c>
      <c r="B17" s="54">
        <v>3</v>
      </c>
      <c r="C17" s="54" t="s">
        <v>1271</v>
      </c>
      <c r="D17" s="54">
        <v>4</v>
      </c>
      <c r="E17" s="54" t="s">
        <v>1279</v>
      </c>
      <c r="F17" s="54" t="s">
        <v>1280</v>
      </c>
      <c r="G17" s="54" t="s">
        <v>1274</v>
      </c>
      <c r="H17" s="54" t="s">
        <v>1082</v>
      </c>
      <c r="I17" s="54" t="s">
        <v>54</v>
      </c>
    </row>
    <row r="18" spans="1:9" ht="15.75" customHeight="1">
      <c r="A18" s="54">
        <v>2</v>
      </c>
      <c r="B18" s="54">
        <v>3</v>
      </c>
      <c r="C18" s="54" t="s">
        <v>1271</v>
      </c>
      <c r="D18" s="54">
        <v>5</v>
      </c>
      <c r="E18" s="54" t="s">
        <v>1281</v>
      </c>
      <c r="F18" s="54" t="s">
        <v>1282</v>
      </c>
      <c r="G18" s="54" t="s">
        <v>1274</v>
      </c>
      <c r="H18" s="54" t="s">
        <v>1090</v>
      </c>
      <c r="I18" s="54" t="s">
        <v>54</v>
      </c>
    </row>
    <row r="19" spans="1:9" ht="15.75" customHeight="1">
      <c r="A19" s="54">
        <v>2</v>
      </c>
      <c r="B19" s="54">
        <v>3</v>
      </c>
      <c r="C19" s="54" t="s">
        <v>1271</v>
      </c>
      <c r="D19" s="54">
        <v>6</v>
      </c>
      <c r="E19" s="54" t="s">
        <v>1283</v>
      </c>
      <c r="F19" s="54" t="s">
        <v>1284</v>
      </c>
      <c r="G19" s="54" t="s">
        <v>1274</v>
      </c>
      <c r="H19" s="54" t="s">
        <v>1285</v>
      </c>
      <c r="I19" s="54" t="s">
        <v>54</v>
      </c>
    </row>
    <row r="20" spans="1:9" ht="15.75" customHeight="1">
      <c r="A20" s="54">
        <v>2</v>
      </c>
      <c r="B20" s="54">
        <v>3</v>
      </c>
      <c r="C20" s="54" t="s">
        <v>1286</v>
      </c>
      <c r="D20" s="54">
        <v>1</v>
      </c>
      <c r="E20" s="54" t="s">
        <v>1287</v>
      </c>
      <c r="F20" s="54" t="s">
        <v>1288</v>
      </c>
      <c r="G20" s="54">
        <v>2.6</v>
      </c>
      <c r="H20" s="54" t="s">
        <v>12</v>
      </c>
      <c r="I20" s="54" t="s">
        <v>1083</v>
      </c>
    </row>
    <row r="21" spans="1:9" ht="15.75" customHeight="1">
      <c r="A21" s="54">
        <v>2</v>
      </c>
      <c r="B21" s="54">
        <v>3</v>
      </c>
      <c r="C21" s="54" t="s">
        <v>1286</v>
      </c>
      <c r="D21" s="54">
        <v>2</v>
      </c>
      <c r="E21" s="54" t="s">
        <v>1289</v>
      </c>
      <c r="F21" s="54" t="s">
        <v>1290</v>
      </c>
      <c r="G21" s="54">
        <v>2.6</v>
      </c>
      <c r="H21" s="54" t="s">
        <v>12</v>
      </c>
      <c r="I21" s="54" t="s">
        <v>1083</v>
      </c>
    </row>
    <row r="22" spans="1:9" ht="15.75" customHeight="1">
      <c r="A22" s="54">
        <v>2</v>
      </c>
      <c r="B22" s="54">
        <v>3</v>
      </c>
      <c r="C22" s="54" t="s">
        <v>1286</v>
      </c>
      <c r="D22" s="54">
        <v>3</v>
      </c>
      <c r="E22" s="54" t="s">
        <v>1291</v>
      </c>
      <c r="F22" s="54" t="s">
        <v>1292</v>
      </c>
      <c r="G22" s="54">
        <v>2.6</v>
      </c>
      <c r="H22" s="54" t="s">
        <v>1204</v>
      </c>
      <c r="I22" s="54" t="s">
        <v>1083</v>
      </c>
    </row>
    <row r="23" spans="1:9" ht="15.75" customHeight="1">
      <c r="A23" s="54">
        <v>2</v>
      </c>
      <c r="B23" s="54">
        <v>3</v>
      </c>
      <c r="C23" s="54" t="s">
        <v>1286</v>
      </c>
      <c r="D23" s="54">
        <v>4</v>
      </c>
      <c r="E23" s="54" t="s">
        <v>1293</v>
      </c>
      <c r="F23" s="54" t="s">
        <v>1294</v>
      </c>
      <c r="G23" s="54">
        <v>2.6</v>
      </c>
      <c r="H23" s="54" t="s">
        <v>1295</v>
      </c>
      <c r="I23" s="54" t="s">
        <v>1083</v>
      </c>
    </row>
    <row r="24" spans="1:9" ht="15.75" customHeight="1">
      <c r="A24" s="54">
        <v>2</v>
      </c>
      <c r="B24" s="54">
        <v>3</v>
      </c>
      <c r="C24" s="54" t="s">
        <v>1286</v>
      </c>
      <c r="D24" s="54">
        <v>5</v>
      </c>
      <c r="E24" s="54" t="s">
        <v>1296</v>
      </c>
      <c r="F24" s="54" t="s">
        <v>1297</v>
      </c>
      <c r="G24" s="54">
        <v>2.6</v>
      </c>
      <c r="H24" s="54" t="s">
        <v>1204</v>
      </c>
      <c r="I24" s="54" t="s">
        <v>1083</v>
      </c>
    </row>
    <row r="25" spans="1:9" ht="15.75" customHeight="1">
      <c r="A25" s="54">
        <v>2</v>
      </c>
      <c r="B25" s="54">
        <v>3</v>
      </c>
      <c r="C25" s="54" t="s">
        <v>1286</v>
      </c>
      <c r="D25" s="54">
        <v>6</v>
      </c>
      <c r="E25" s="54" t="s">
        <v>1298</v>
      </c>
      <c r="F25" s="54" t="s">
        <v>1299</v>
      </c>
      <c r="G25" s="54">
        <v>2.6</v>
      </c>
      <c r="H25" s="54" t="s">
        <v>1300</v>
      </c>
      <c r="I25" s="54" t="s">
        <v>1083</v>
      </c>
    </row>
    <row r="26" spans="1:9" ht="15.75" customHeight="1">
      <c r="A26" s="54">
        <v>2</v>
      </c>
      <c r="B26" s="54">
        <v>3</v>
      </c>
      <c r="C26" s="54" t="s">
        <v>1301</v>
      </c>
      <c r="D26" s="54">
        <v>1</v>
      </c>
      <c r="E26" s="54" t="s">
        <v>1302</v>
      </c>
      <c r="F26" s="54" t="s">
        <v>1303</v>
      </c>
      <c r="G26" s="54" t="s">
        <v>1304</v>
      </c>
      <c r="H26" s="54" t="s">
        <v>1305</v>
      </c>
      <c r="I26" s="54" t="s">
        <v>1083</v>
      </c>
    </row>
    <row r="27" spans="1:9" ht="15.75" customHeight="1">
      <c r="A27" s="54">
        <v>2</v>
      </c>
      <c r="B27" s="54">
        <v>3</v>
      </c>
      <c r="C27" s="54" t="s">
        <v>1301</v>
      </c>
      <c r="D27" s="54">
        <v>2</v>
      </c>
      <c r="E27" s="54" t="s">
        <v>1306</v>
      </c>
      <c r="F27" s="54" t="s">
        <v>1307</v>
      </c>
      <c r="G27" s="54" t="s">
        <v>1304</v>
      </c>
      <c r="H27" s="54" t="s">
        <v>27</v>
      </c>
      <c r="I27" s="54" t="s">
        <v>1083</v>
      </c>
    </row>
    <row r="28" spans="1:9" ht="15.75" customHeight="1">
      <c r="A28" s="54">
        <v>2</v>
      </c>
      <c r="B28" s="54">
        <v>3</v>
      </c>
      <c r="C28" s="54" t="s">
        <v>1301</v>
      </c>
      <c r="D28" s="54">
        <v>3</v>
      </c>
      <c r="E28" s="54" t="s">
        <v>1308</v>
      </c>
      <c r="F28" s="54" t="s">
        <v>1309</v>
      </c>
      <c r="G28" s="54" t="s">
        <v>1304</v>
      </c>
      <c r="H28" s="54" t="s">
        <v>27</v>
      </c>
      <c r="I28" s="54" t="s">
        <v>1083</v>
      </c>
    </row>
    <row r="29" spans="1:9" ht="15.75" customHeight="1">
      <c r="A29" s="54">
        <v>2</v>
      </c>
      <c r="B29" s="54">
        <v>3</v>
      </c>
      <c r="C29" s="54" t="s">
        <v>1301</v>
      </c>
      <c r="D29" s="54">
        <v>4</v>
      </c>
      <c r="E29" s="54" t="s">
        <v>1310</v>
      </c>
      <c r="F29" s="54" t="s">
        <v>1311</v>
      </c>
      <c r="G29" s="54" t="s">
        <v>1304</v>
      </c>
      <c r="H29" s="54" t="s">
        <v>27</v>
      </c>
      <c r="I29" s="54" t="s">
        <v>1083</v>
      </c>
    </row>
    <row r="30" spans="1:9" ht="15.75" customHeight="1">
      <c r="A30" s="54">
        <v>2</v>
      </c>
      <c r="B30" s="54">
        <v>3</v>
      </c>
      <c r="C30" s="54" t="s">
        <v>1301</v>
      </c>
      <c r="D30" s="54">
        <v>5</v>
      </c>
      <c r="E30" s="54" t="s">
        <v>1312</v>
      </c>
      <c r="F30" s="54" t="s">
        <v>1313</v>
      </c>
      <c r="G30" s="54" t="s">
        <v>1304</v>
      </c>
      <c r="H30" s="54" t="s">
        <v>1150</v>
      </c>
      <c r="I30" s="54" t="s">
        <v>1083</v>
      </c>
    </row>
    <row r="31" spans="1:9" ht="15.75" customHeight="1">
      <c r="A31" s="54">
        <v>2</v>
      </c>
      <c r="B31" s="54">
        <v>3</v>
      </c>
      <c r="C31" s="54" t="s">
        <v>1301</v>
      </c>
      <c r="D31" s="54">
        <v>6</v>
      </c>
      <c r="E31" s="54" t="s">
        <v>1314</v>
      </c>
      <c r="F31" s="54" t="s">
        <v>1315</v>
      </c>
      <c r="G31" s="54" t="s">
        <v>1304</v>
      </c>
      <c r="H31" s="54" t="s">
        <v>1316</v>
      </c>
      <c r="I31" s="54" t="s">
        <v>1083</v>
      </c>
    </row>
    <row r="32" spans="1:9" ht="15.75" customHeight="1">
      <c r="A32" s="54">
        <v>2</v>
      </c>
      <c r="B32" s="54">
        <v>3</v>
      </c>
      <c r="C32" s="54" t="s">
        <v>1317</v>
      </c>
      <c r="D32" s="54">
        <v>1</v>
      </c>
      <c r="E32" s="54" t="s">
        <v>1318</v>
      </c>
      <c r="F32" s="54" t="s">
        <v>1319</v>
      </c>
      <c r="G32" s="54" t="s">
        <v>1304</v>
      </c>
      <c r="H32" s="54" t="s">
        <v>1305</v>
      </c>
      <c r="I32" s="54" t="s">
        <v>1083</v>
      </c>
    </row>
    <row r="33" spans="1:9" ht="15.75" customHeight="1">
      <c r="A33" s="54">
        <v>2</v>
      </c>
      <c r="B33" s="54">
        <v>3</v>
      </c>
      <c r="C33" s="54" t="s">
        <v>1317</v>
      </c>
      <c r="D33" s="54">
        <v>2</v>
      </c>
      <c r="E33" s="54" t="s">
        <v>1320</v>
      </c>
      <c r="F33" s="54" t="s">
        <v>1321</v>
      </c>
      <c r="G33" s="54" t="s">
        <v>1304</v>
      </c>
      <c r="H33" s="54" t="s">
        <v>1305</v>
      </c>
      <c r="I33" s="54" t="s">
        <v>1083</v>
      </c>
    </row>
    <row r="34" spans="1:9" ht="15.75" customHeight="1">
      <c r="A34" s="54">
        <v>2</v>
      </c>
      <c r="B34" s="54">
        <v>3</v>
      </c>
      <c r="C34" s="54" t="s">
        <v>1317</v>
      </c>
      <c r="D34" s="54">
        <v>3</v>
      </c>
      <c r="E34" s="54" t="s">
        <v>1322</v>
      </c>
      <c r="F34" s="54" t="s">
        <v>1323</v>
      </c>
      <c r="G34" s="54" t="s">
        <v>1304</v>
      </c>
      <c r="H34" s="54" t="s">
        <v>27</v>
      </c>
      <c r="I34" s="54" t="s">
        <v>1083</v>
      </c>
    </row>
    <row r="35" spans="1:9" ht="15.75" customHeight="1">
      <c r="A35" s="54">
        <v>2</v>
      </c>
      <c r="B35" s="54">
        <v>3</v>
      </c>
      <c r="C35" s="54" t="s">
        <v>1317</v>
      </c>
      <c r="D35" s="54">
        <v>4</v>
      </c>
      <c r="E35" s="54" t="s">
        <v>1324</v>
      </c>
      <c r="F35" s="54" t="s">
        <v>1325</v>
      </c>
      <c r="G35" s="54" t="s">
        <v>1304</v>
      </c>
      <c r="H35" s="54" t="s">
        <v>27</v>
      </c>
      <c r="I35" s="54" t="s">
        <v>1083</v>
      </c>
    </row>
    <row r="36" spans="1:9" ht="15.75" customHeight="1">
      <c r="A36" s="54">
        <v>2</v>
      </c>
      <c r="B36" s="54">
        <v>3</v>
      </c>
      <c r="C36" s="54" t="s">
        <v>1317</v>
      </c>
      <c r="D36" s="54">
        <v>5</v>
      </c>
      <c r="E36" s="54" t="s">
        <v>1326</v>
      </c>
      <c r="F36" s="54" t="s">
        <v>1327</v>
      </c>
      <c r="G36" s="54" t="s">
        <v>1304</v>
      </c>
      <c r="H36" s="54" t="s">
        <v>1150</v>
      </c>
      <c r="I36" s="54" t="s">
        <v>1083</v>
      </c>
    </row>
    <row r="37" spans="1:9" ht="15.75" customHeight="1">
      <c r="A37" s="54">
        <v>2</v>
      </c>
      <c r="B37" s="54">
        <v>3</v>
      </c>
      <c r="C37" s="54" t="s">
        <v>1317</v>
      </c>
      <c r="D37" s="54">
        <v>6</v>
      </c>
      <c r="E37" s="54" t="s">
        <v>1328</v>
      </c>
      <c r="F37" s="54" t="s">
        <v>1329</v>
      </c>
      <c r="G37" s="54" t="s">
        <v>1304</v>
      </c>
      <c r="H37" s="54" t="s">
        <v>1150</v>
      </c>
      <c r="I37" s="54" t="s">
        <v>1083</v>
      </c>
    </row>
    <row r="38" spans="1:9" ht="15.75" customHeight="1">
      <c r="A38" s="54">
        <v>2</v>
      </c>
      <c r="B38" s="54">
        <v>4</v>
      </c>
      <c r="C38" s="54" t="s">
        <v>1330</v>
      </c>
      <c r="D38" s="54">
        <v>1</v>
      </c>
      <c r="E38" s="54" t="s">
        <v>1331</v>
      </c>
      <c r="F38" s="54" t="s">
        <v>1332</v>
      </c>
      <c r="G38" s="54" t="s">
        <v>1333</v>
      </c>
      <c r="H38" s="54" t="s">
        <v>1334</v>
      </c>
      <c r="I38" s="54" t="s">
        <v>1335</v>
      </c>
    </row>
    <row r="39" spans="1:9" ht="15.75" customHeight="1">
      <c r="A39" s="54">
        <v>2</v>
      </c>
      <c r="B39" s="54">
        <v>4</v>
      </c>
      <c r="C39" s="54" t="s">
        <v>1330</v>
      </c>
      <c r="D39" s="54">
        <v>2</v>
      </c>
      <c r="E39" s="54" t="s">
        <v>1336</v>
      </c>
      <c r="F39" s="54" t="s">
        <v>1337</v>
      </c>
      <c r="G39" s="54" t="s">
        <v>1333</v>
      </c>
      <c r="H39" s="54" t="s">
        <v>6</v>
      </c>
      <c r="I39" s="54" t="s">
        <v>1335</v>
      </c>
    </row>
    <row r="40" spans="1:9" ht="15.75" customHeight="1">
      <c r="A40" s="54">
        <v>2</v>
      </c>
      <c r="B40" s="54">
        <v>4</v>
      </c>
      <c r="C40" s="54" t="s">
        <v>1330</v>
      </c>
      <c r="D40" s="54">
        <v>3</v>
      </c>
      <c r="E40" s="54" t="s">
        <v>1338</v>
      </c>
      <c r="F40" s="54" t="s">
        <v>1339</v>
      </c>
      <c r="G40" s="54" t="s">
        <v>1333</v>
      </c>
      <c r="H40" s="54" t="s">
        <v>6</v>
      </c>
      <c r="I40" s="54" t="s">
        <v>1335</v>
      </c>
    </row>
    <row r="41" spans="1:9" ht="15.75" customHeight="1">
      <c r="A41" s="54">
        <v>2</v>
      </c>
      <c r="B41" s="54">
        <v>4</v>
      </c>
      <c r="C41" s="54" t="s">
        <v>1330</v>
      </c>
      <c r="D41" s="54">
        <v>4</v>
      </c>
      <c r="E41" s="54" t="s">
        <v>1340</v>
      </c>
      <c r="F41" s="54" t="s">
        <v>1341</v>
      </c>
      <c r="G41" s="54" t="s">
        <v>1333</v>
      </c>
      <c r="H41" s="54" t="s">
        <v>1342</v>
      </c>
      <c r="I41" s="54" t="s">
        <v>1335</v>
      </c>
    </row>
    <row r="42" spans="1:9" ht="15.75" customHeight="1">
      <c r="A42" s="54">
        <v>2</v>
      </c>
      <c r="B42" s="54">
        <v>4</v>
      </c>
      <c r="C42" s="54" t="s">
        <v>1330</v>
      </c>
      <c r="D42" s="54">
        <v>5</v>
      </c>
      <c r="E42" s="54" t="s">
        <v>1343</v>
      </c>
      <c r="F42" s="54" t="s">
        <v>1344</v>
      </c>
      <c r="G42" s="54" t="s">
        <v>1333</v>
      </c>
      <c r="H42" s="54" t="s">
        <v>6</v>
      </c>
      <c r="I42" s="54" t="s">
        <v>1335</v>
      </c>
    </row>
    <row r="43" spans="1:9" ht="15.75" customHeight="1">
      <c r="A43" s="54">
        <v>2</v>
      </c>
      <c r="B43" s="54">
        <v>4</v>
      </c>
      <c r="C43" s="54" t="s">
        <v>1330</v>
      </c>
      <c r="D43" s="54">
        <v>6</v>
      </c>
      <c r="E43" s="54" t="s">
        <v>1345</v>
      </c>
      <c r="F43" s="54" t="s">
        <v>1346</v>
      </c>
      <c r="G43" s="54" t="s">
        <v>1333</v>
      </c>
      <c r="H43" s="54" t="s">
        <v>1347</v>
      </c>
      <c r="I43" s="54" t="s">
        <v>1335</v>
      </c>
    </row>
    <row r="44" spans="1:9" ht="15.75" customHeight="1">
      <c r="A44" s="54">
        <v>2</v>
      </c>
      <c r="B44" s="54">
        <v>4</v>
      </c>
      <c r="C44" s="54" t="s">
        <v>1348</v>
      </c>
      <c r="D44" s="54">
        <v>1</v>
      </c>
      <c r="E44" s="54" t="s">
        <v>1349</v>
      </c>
      <c r="F44" s="54" t="s">
        <v>1350</v>
      </c>
      <c r="G44" s="54" t="s">
        <v>1351</v>
      </c>
      <c r="H44" s="54" t="s">
        <v>1352</v>
      </c>
      <c r="I44" s="54" t="s">
        <v>50</v>
      </c>
    </row>
    <row r="45" spans="1:9" ht="15.75" customHeight="1">
      <c r="A45" s="54">
        <v>2</v>
      </c>
      <c r="B45" s="54">
        <v>4</v>
      </c>
      <c r="C45" s="54" t="s">
        <v>1348</v>
      </c>
      <c r="D45" s="54">
        <v>2</v>
      </c>
      <c r="E45" s="54" t="s">
        <v>1353</v>
      </c>
      <c r="F45" s="54" t="s">
        <v>1354</v>
      </c>
      <c r="G45" s="54" t="s">
        <v>1351</v>
      </c>
      <c r="H45" s="54" t="s">
        <v>1355</v>
      </c>
      <c r="I45" s="54" t="s">
        <v>50</v>
      </c>
    </row>
    <row r="46" spans="1:9" ht="15.75" customHeight="1">
      <c r="A46" s="54">
        <v>2</v>
      </c>
      <c r="B46" s="54">
        <v>4</v>
      </c>
      <c r="C46" s="54" t="s">
        <v>1348</v>
      </c>
      <c r="D46" s="54">
        <v>3</v>
      </c>
      <c r="E46" s="54" t="s">
        <v>1356</v>
      </c>
      <c r="F46" s="54" t="s">
        <v>1357</v>
      </c>
      <c r="G46" s="54" t="s">
        <v>1351</v>
      </c>
      <c r="H46" s="54" t="s">
        <v>1358</v>
      </c>
      <c r="I46" s="54" t="s">
        <v>50</v>
      </c>
    </row>
    <row r="47" spans="1:9" ht="15.75" customHeight="1">
      <c r="A47" s="54">
        <v>2</v>
      </c>
      <c r="B47" s="54">
        <v>4</v>
      </c>
      <c r="C47" s="54" t="s">
        <v>1348</v>
      </c>
      <c r="D47" s="54">
        <v>4</v>
      </c>
      <c r="E47" s="54" t="s">
        <v>1359</v>
      </c>
      <c r="F47" s="54" t="s">
        <v>1360</v>
      </c>
      <c r="G47" s="54" t="s">
        <v>1351</v>
      </c>
      <c r="H47" s="54" t="s">
        <v>1082</v>
      </c>
      <c r="I47" s="54" t="s">
        <v>50</v>
      </c>
    </row>
    <row r="48" spans="1:9" ht="13">
      <c r="A48" s="54">
        <v>2</v>
      </c>
      <c r="B48" s="54">
        <v>4</v>
      </c>
      <c r="C48" s="54" t="s">
        <v>1348</v>
      </c>
      <c r="D48" s="54">
        <v>5</v>
      </c>
      <c r="E48" s="54" t="s">
        <v>1361</v>
      </c>
      <c r="F48" s="54" t="s">
        <v>1362</v>
      </c>
      <c r="G48" s="54" t="s">
        <v>1351</v>
      </c>
      <c r="H48" s="54" t="s">
        <v>1082</v>
      </c>
      <c r="I48" s="54" t="s">
        <v>50</v>
      </c>
    </row>
    <row r="49" spans="1:9" ht="13">
      <c r="A49" s="54">
        <v>2</v>
      </c>
      <c r="B49" s="54">
        <v>4</v>
      </c>
      <c r="C49" s="54" t="s">
        <v>1348</v>
      </c>
      <c r="D49" s="54">
        <v>6</v>
      </c>
      <c r="E49" s="54" t="s">
        <v>1363</v>
      </c>
      <c r="F49" s="54" t="s">
        <v>1364</v>
      </c>
      <c r="G49" s="54" t="s">
        <v>1351</v>
      </c>
      <c r="H49" s="54" t="s">
        <v>1179</v>
      </c>
      <c r="I49" s="54" t="s">
        <v>50</v>
      </c>
    </row>
    <row r="50" spans="1:9" ht="13">
      <c r="A50" s="54">
        <v>2</v>
      </c>
      <c r="B50" s="54">
        <v>4</v>
      </c>
      <c r="C50" s="54" t="s">
        <v>1365</v>
      </c>
      <c r="D50" s="54">
        <v>1</v>
      </c>
      <c r="E50" s="54" t="s">
        <v>1366</v>
      </c>
      <c r="F50" s="54" t="s">
        <v>1367</v>
      </c>
      <c r="G50" s="54" t="s">
        <v>1351</v>
      </c>
      <c r="H50" s="54" t="s">
        <v>1082</v>
      </c>
      <c r="I50" s="54" t="s">
        <v>55</v>
      </c>
    </row>
    <row r="51" spans="1:9" ht="13">
      <c r="A51" s="54">
        <v>2</v>
      </c>
      <c r="B51" s="54">
        <v>4</v>
      </c>
      <c r="C51" s="54" t="s">
        <v>1365</v>
      </c>
      <c r="D51" s="54">
        <v>2</v>
      </c>
      <c r="E51" s="54" t="s">
        <v>1368</v>
      </c>
      <c r="F51" s="54" t="s">
        <v>1369</v>
      </c>
      <c r="G51" s="54" t="s">
        <v>1351</v>
      </c>
      <c r="H51" s="54" t="s">
        <v>1370</v>
      </c>
      <c r="I51" s="54" t="s">
        <v>55</v>
      </c>
    </row>
    <row r="52" spans="1:9" ht="13">
      <c r="A52" s="54">
        <v>2</v>
      </c>
      <c r="B52" s="54">
        <v>4</v>
      </c>
      <c r="C52" s="54" t="s">
        <v>1365</v>
      </c>
      <c r="D52" s="54">
        <v>3</v>
      </c>
      <c r="E52" s="54" t="s">
        <v>1371</v>
      </c>
      <c r="F52" s="54" t="s">
        <v>1372</v>
      </c>
      <c r="G52" s="54" t="s">
        <v>1351</v>
      </c>
      <c r="H52" s="54" t="s">
        <v>1090</v>
      </c>
      <c r="I52" s="54" t="s">
        <v>55</v>
      </c>
    </row>
    <row r="53" spans="1:9" ht="13">
      <c r="A53" s="54">
        <v>2</v>
      </c>
      <c r="B53" s="54">
        <v>4</v>
      </c>
      <c r="C53" s="54" t="s">
        <v>1365</v>
      </c>
      <c r="D53" s="54">
        <v>4</v>
      </c>
      <c r="E53" s="54" t="s">
        <v>1373</v>
      </c>
      <c r="F53" s="54" t="s">
        <v>1374</v>
      </c>
      <c r="G53" s="54" t="s">
        <v>1351</v>
      </c>
      <c r="H53" s="54" t="s">
        <v>1082</v>
      </c>
      <c r="I53" s="54" t="s">
        <v>55</v>
      </c>
    </row>
    <row r="54" spans="1:9" ht="13">
      <c r="A54" s="54">
        <v>2</v>
      </c>
      <c r="B54" s="54">
        <v>4</v>
      </c>
      <c r="C54" s="54" t="s">
        <v>1365</v>
      </c>
      <c r="D54" s="54">
        <v>5</v>
      </c>
      <c r="E54" s="54" t="s">
        <v>1375</v>
      </c>
      <c r="F54" s="54" t="s">
        <v>1376</v>
      </c>
      <c r="G54" s="54" t="s">
        <v>1351</v>
      </c>
      <c r="H54" s="54" t="s">
        <v>1377</v>
      </c>
      <c r="I54" s="54" t="s">
        <v>55</v>
      </c>
    </row>
    <row r="55" spans="1:9" ht="13">
      <c r="A55" s="54">
        <v>2</v>
      </c>
      <c r="B55" s="54">
        <v>4</v>
      </c>
      <c r="C55" s="54" t="s">
        <v>1365</v>
      </c>
      <c r="D55" s="54">
        <v>6</v>
      </c>
      <c r="E55" s="54" t="s">
        <v>1378</v>
      </c>
      <c r="F55" s="54" t="s">
        <v>1379</v>
      </c>
      <c r="G55" s="54" t="s">
        <v>1351</v>
      </c>
      <c r="H55" s="54" t="s">
        <v>1090</v>
      </c>
      <c r="I55" s="54" t="s">
        <v>55</v>
      </c>
    </row>
    <row r="56" spans="1:9" ht="13">
      <c r="A56" s="54">
        <v>2</v>
      </c>
      <c r="B56" s="54">
        <v>4</v>
      </c>
      <c r="C56" s="54" t="s">
        <v>1380</v>
      </c>
      <c r="D56" s="54">
        <v>1</v>
      </c>
      <c r="E56" s="54" t="s">
        <v>1381</v>
      </c>
      <c r="F56" s="54" t="s">
        <v>1382</v>
      </c>
      <c r="G56" s="54" t="s">
        <v>1383</v>
      </c>
      <c r="H56" s="54" t="s">
        <v>12</v>
      </c>
      <c r="I56" s="54" t="s">
        <v>1083</v>
      </c>
    </row>
    <row r="57" spans="1:9" ht="13">
      <c r="A57" s="54">
        <v>2</v>
      </c>
      <c r="B57" s="54">
        <v>4</v>
      </c>
      <c r="C57" s="54" t="s">
        <v>1380</v>
      </c>
      <c r="D57" s="54">
        <v>2</v>
      </c>
      <c r="E57" s="54" t="s">
        <v>1384</v>
      </c>
      <c r="F57" s="54" t="s">
        <v>1385</v>
      </c>
      <c r="G57" s="54" t="s">
        <v>1383</v>
      </c>
      <c r="H57" s="54" t="s">
        <v>1386</v>
      </c>
      <c r="I57" s="54" t="s">
        <v>1083</v>
      </c>
    </row>
    <row r="58" spans="1:9" ht="13">
      <c r="A58" s="54">
        <v>2</v>
      </c>
      <c r="B58" s="54">
        <v>4</v>
      </c>
      <c r="C58" s="54" t="s">
        <v>1380</v>
      </c>
      <c r="D58" s="54">
        <v>3</v>
      </c>
      <c r="E58" s="54" t="s">
        <v>1387</v>
      </c>
      <c r="F58" s="54" t="s">
        <v>1388</v>
      </c>
      <c r="G58" s="54" t="s">
        <v>1383</v>
      </c>
      <c r="H58" s="54" t="s">
        <v>1386</v>
      </c>
      <c r="I58" s="54" t="s">
        <v>1083</v>
      </c>
    </row>
    <row r="59" spans="1:9" ht="13">
      <c r="A59" s="54">
        <v>2</v>
      </c>
      <c r="B59" s="54">
        <v>4</v>
      </c>
      <c r="C59" s="54" t="s">
        <v>1380</v>
      </c>
      <c r="D59" s="54">
        <v>4</v>
      </c>
      <c r="E59" s="54" t="s">
        <v>1389</v>
      </c>
      <c r="F59" s="54" t="s">
        <v>1390</v>
      </c>
      <c r="G59" s="54" t="s">
        <v>1383</v>
      </c>
      <c r="H59" s="54" t="s">
        <v>1204</v>
      </c>
      <c r="I59" s="54" t="s">
        <v>1083</v>
      </c>
    </row>
    <row r="60" spans="1:9" ht="13">
      <c r="A60" s="54">
        <v>2</v>
      </c>
      <c r="B60" s="54">
        <v>4</v>
      </c>
      <c r="C60" s="54" t="s">
        <v>1380</v>
      </c>
      <c r="D60" s="54">
        <v>5</v>
      </c>
      <c r="E60" s="54" t="s">
        <v>1391</v>
      </c>
      <c r="F60" s="54" t="s">
        <v>1392</v>
      </c>
      <c r="G60" s="54" t="s">
        <v>1383</v>
      </c>
      <c r="H60" s="54" t="s">
        <v>1386</v>
      </c>
      <c r="I60" s="54" t="s">
        <v>1083</v>
      </c>
    </row>
    <row r="61" spans="1:9" ht="13">
      <c r="A61" s="54">
        <v>2</v>
      </c>
      <c r="B61" s="54">
        <v>4</v>
      </c>
      <c r="C61" s="54" t="s">
        <v>1380</v>
      </c>
      <c r="D61" s="54">
        <v>6</v>
      </c>
      <c r="E61" s="54" t="s">
        <v>1393</v>
      </c>
      <c r="F61" s="54" t="s">
        <v>1394</v>
      </c>
      <c r="G61" s="54" t="s">
        <v>1383</v>
      </c>
      <c r="H61" s="54" t="s">
        <v>1352</v>
      </c>
      <c r="I61" s="54" t="s">
        <v>1083</v>
      </c>
    </row>
    <row r="62" spans="1:9" ht="13">
      <c r="A62" s="54">
        <v>2</v>
      </c>
      <c r="B62" s="54">
        <v>4</v>
      </c>
      <c r="C62" s="54" t="s">
        <v>1395</v>
      </c>
      <c r="D62" s="54">
        <v>1</v>
      </c>
      <c r="E62" s="54" t="s">
        <v>1396</v>
      </c>
      <c r="F62" s="54" t="s">
        <v>1397</v>
      </c>
      <c r="G62" s="54" t="s">
        <v>1304</v>
      </c>
      <c r="H62" s="54" t="s">
        <v>1221</v>
      </c>
      <c r="I62" s="54" t="s">
        <v>1083</v>
      </c>
    </row>
    <row r="63" spans="1:9" ht="13">
      <c r="A63" s="54">
        <v>2</v>
      </c>
      <c r="B63" s="54">
        <v>4</v>
      </c>
      <c r="C63" s="54" t="s">
        <v>1395</v>
      </c>
      <c r="D63" s="54">
        <v>2</v>
      </c>
      <c r="E63" s="54" t="s">
        <v>1398</v>
      </c>
      <c r="F63" s="54" t="s">
        <v>1399</v>
      </c>
      <c r="G63" s="54" t="s">
        <v>1304</v>
      </c>
      <c r="H63" s="54" t="s">
        <v>1305</v>
      </c>
      <c r="I63" s="54" t="s">
        <v>1083</v>
      </c>
    </row>
    <row r="64" spans="1:9" ht="13">
      <c r="A64" s="54">
        <v>2</v>
      </c>
      <c r="B64" s="54">
        <v>4</v>
      </c>
      <c r="C64" s="54" t="s">
        <v>1395</v>
      </c>
      <c r="D64" s="54">
        <v>3</v>
      </c>
      <c r="E64" s="54" t="s">
        <v>1400</v>
      </c>
      <c r="F64" s="54" t="s">
        <v>1401</v>
      </c>
      <c r="G64" s="54" t="s">
        <v>1304</v>
      </c>
      <c r="H64" s="54" t="s">
        <v>1221</v>
      </c>
      <c r="I64" s="54" t="s">
        <v>1083</v>
      </c>
    </row>
    <row r="65" spans="1:9" ht="13">
      <c r="A65" s="54">
        <v>2</v>
      </c>
      <c r="B65" s="54">
        <v>4</v>
      </c>
      <c r="C65" s="54" t="s">
        <v>1395</v>
      </c>
      <c r="D65" s="54">
        <v>4</v>
      </c>
      <c r="E65" s="54" t="s">
        <v>1402</v>
      </c>
      <c r="F65" s="54" t="s">
        <v>1403</v>
      </c>
      <c r="G65" s="54" t="s">
        <v>1304</v>
      </c>
      <c r="H65" s="54" t="s">
        <v>27</v>
      </c>
      <c r="I65" s="54" t="s">
        <v>1083</v>
      </c>
    </row>
    <row r="66" spans="1:9" ht="13">
      <c r="A66" s="54">
        <v>2</v>
      </c>
      <c r="B66" s="54">
        <v>4</v>
      </c>
      <c r="C66" s="54" t="s">
        <v>1395</v>
      </c>
      <c r="D66" s="54">
        <v>5</v>
      </c>
      <c r="E66" s="54" t="s">
        <v>1404</v>
      </c>
      <c r="F66" s="54" t="s">
        <v>1405</v>
      </c>
      <c r="G66" s="54" t="s">
        <v>1304</v>
      </c>
      <c r="H66" s="54" t="s">
        <v>1221</v>
      </c>
      <c r="I66" s="54" t="s">
        <v>1083</v>
      </c>
    </row>
    <row r="67" spans="1:9" ht="13">
      <c r="A67" s="54">
        <v>2</v>
      </c>
      <c r="B67" s="54">
        <v>4</v>
      </c>
      <c r="C67" s="54" t="s">
        <v>1395</v>
      </c>
      <c r="D67" s="54">
        <v>6</v>
      </c>
      <c r="E67" s="54" t="s">
        <v>1406</v>
      </c>
      <c r="F67" s="54" t="s">
        <v>1407</v>
      </c>
      <c r="G67" s="54" t="s">
        <v>1304</v>
      </c>
      <c r="H67" s="54" t="s">
        <v>27</v>
      </c>
      <c r="I67" s="54" t="s">
        <v>1083</v>
      </c>
    </row>
    <row r="68" spans="1:9" ht="13">
      <c r="A68" s="54">
        <v>2</v>
      </c>
      <c r="B68" s="54">
        <v>4</v>
      </c>
      <c r="C68" s="54" t="s">
        <v>1408</v>
      </c>
      <c r="D68" s="54">
        <v>1</v>
      </c>
      <c r="E68" s="54" t="s">
        <v>1409</v>
      </c>
      <c r="F68" s="54" t="s">
        <v>1410</v>
      </c>
      <c r="G68" s="54" t="s">
        <v>1411</v>
      </c>
      <c r="H68" s="54" t="s">
        <v>1150</v>
      </c>
      <c r="I68" s="54" t="s">
        <v>1083</v>
      </c>
    </row>
    <row r="69" spans="1:9" ht="13">
      <c r="A69" s="54">
        <v>2</v>
      </c>
      <c r="B69" s="54">
        <v>4</v>
      </c>
      <c r="C69" s="54" t="s">
        <v>1408</v>
      </c>
      <c r="D69" s="54">
        <v>2</v>
      </c>
      <c r="E69" s="54" t="s">
        <v>1412</v>
      </c>
      <c r="F69" s="54" t="s">
        <v>1413</v>
      </c>
      <c r="G69" s="54" t="s">
        <v>1411</v>
      </c>
      <c r="H69" s="54" t="s">
        <v>1221</v>
      </c>
      <c r="I69" s="54" t="s">
        <v>1083</v>
      </c>
    </row>
    <row r="70" spans="1:9" ht="13">
      <c r="A70" s="54">
        <v>2</v>
      </c>
      <c r="B70" s="54">
        <v>4</v>
      </c>
      <c r="C70" s="54" t="s">
        <v>1408</v>
      </c>
      <c r="D70" s="54">
        <v>3</v>
      </c>
      <c r="E70" s="54" t="s">
        <v>1414</v>
      </c>
      <c r="F70" s="54" t="s">
        <v>1415</v>
      </c>
      <c r="G70" s="54" t="s">
        <v>1411</v>
      </c>
      <c r="H70" s="54" t="s">
        <v>1150</v>
      </c>
      <c r="I70" s="54" t="s">
        <v>1083</v>
      </c>
    </row>
    <row r="71" spans="1:9" ht="13">
      <c r="A71" s="54">
        <v>2</v>
      </c>
      <c r="B71" s="54">
        <v>4</v>
      </c>
      <c r="C71" s="54" t="s">
        <v>1408</v>
      </c>
      <c r="D71" s="54">
        <v>4</v>
      </c>
      <c r="E71" s="54" t="s">
        <v>1416</v>
      </c>
      <c r="F71" s="54" t="s">
        <v>1417</v>
      </c>
      <c r="G71" s="54" t="s">
        <v>1411</v>
      </c>
      <c r="H71" s="54" t="s">
        <v>27</v>
      </c>
      <c r="I71" s="54" t="s">
        <v>1083</v>
      </c>
    </row>
    <row r="72" spans="1:9" ht="13">
      <c r="A72" s="54">
        <v>2</v>
      </c>
      <c r="B72" s="54">
        <v>4</v>
      </c>
      <c r="C72" s="54" t="s">
        <v>1408</v>
      </c>
      <c r="D72" s="54">
        <v>5</v>
      </c>
      <c r="E72" s="54" t="s">
        <v>1418</v>
      </c>
      <c r="F72" s="54" t="s">
        <v>1419</v>
      </c>
      <c r="G72" s="54" t="s">
        <v>1411</v>
      </c>
      <c r="H72" s="54" t="s">
        <v>1150</v>
      </c>
      <c r="I72" s="54" t="s">
        <v>1083</v>
      </c>
    </row>
    <row r="73" spans="1:9" ht="13">
      <c r="A73" s="54">
        <v>2</v>
      </c>
      <c r="B73" s="54">
        <v>4</v>
      </c>
      <c r="C73" s="54" t="s">
        <v>1408</v>
      </c>
      <c r="D73" s="54">
        <v>6</v>
      </c>
      <c r="E73" s="54" t="s">
        <v>1420</v>
      </c>
      <c r="F73" s="54" t="s">
        <v>1421</v>
      </c>
      <c r="G73" s="54" t="s">
        <v>1411</v>
      </c>
      <c r="H73" s="54" t="s">
        <v>1150</v>
      </c>
      <c r="I73" s="54" t="s">
        <v>1083</v>
      </c>
    </row>
    <row r="74" spans="1:9" ht="13">
      <c r="A74" s="54">
        <v>2</v>
      </c>
      <c r="B74" s="54">
        <v>5</v>
      </c>
      <c r="C74" s="54" t="s">
        <v>1422</v>
      </c>
      <c r="D74" s="54">
        <v>1</v>
      </c>
      <c r="E74" s="54" t="s">
        <v>1423</v>
      </c>
      <c r="F74" s="54" t="s">
        <v>1424</v>
      </c>
      <c r="G74" s="54" t="s">
        <v>1425</v>
      </c>
      <c r="H74" s="54" t="s">
        <v>18</v>
      </c>
      <c r="I74" s="54" t="s">
        <v>50</v>
      </c>
    </row>
    <row r="75" spans="1:9" ht="13">
      <c r="A75" s="54">
        <v>2</v>
      </c>
      <c r="B75" s="54">
        <v>5</v>
      </c>
      <c r="C75" s="54" t="s">
        <v>1422</v>
      </c>
      <c r="D75" s="54">
        <v>2</v>
      </c>
      <c r="E75" s="54" t="s">
        <v>1426</v>
      </c>
      <c r="F75" s="54" t="s">
        <v>1427</v>
      </c>
      <c r="G75" s="54" t="s">
        <v>1425</v>
      </c>
      <c r="H75" s="54" t="s">
        <v>1066</v>
      </c>
      <c r="I75" s="54" t="s">
        <v>50</v>
      </c>
    </row>
    <row r="76" spans="1:9" ht="13">
      <c r="A76" s="54">
        <v>2</v>
      </c>
      <c r="B76" s="54">
        <v>5</v>
      </c>
      <c r="C76" s="54" t="s">
        <v>1422</v>
      </c>
      <c r="D76" s="54">
        <v>3</v>
      </c>
      <c r="E76" s="54" t="s">
        <v>1428</v>
      </c>
      <c r="F76" s="54" t="s">
        <v>1429</v>
      </c>
      <c r="G76" s="54" t="s">
        <v>1425</v>
      </c>
      <c r="H76" s="54" t="s">
        <v>6</v>
      </c>
      <c r="I76" s="54" t="s">
        <v>50</v>
      </c>
    </row>
    <row r="77" spans="1:9" ht="13">
      <c r="A77" s="54">
        <v>2</v>
      </c>
      <c r="B77" s="54">
        <v>5</v>
      </c>
      <c r="C77" s="54" t="s">
        <v>1422</v>
      </c>
      <c r="D77" s="54">
        <v>4</v>
      </c>
      <c r="E77" s="54" t="s">
        <v>1430</v>
      </c>
      <c r="F77" s="54" t="s">
        <v>1431</v>
      </c>
      <c r="G77" s="54" t="s">
        <v>1425</v>
      </c>
      <c r="H77" s="54" t="s">
        <v>1432</v>
      </c>
      <c r="I77" s="54" t="s">
        <v>50</v>
      </c>
    </row>
    <row r="78" spans="1:9" ht="13">
      <c r="A78" s="54">
        <v>2</v>
      </c>
      <c r="B78" s="54">
        <v>5</v>
      </c>
      <c r="C78" s="54" t="s">
        <v>1422</v>
      </c>
      <c r="D78" s="54">
        <v>5</v>
      </c>
      <c r="E78" s="54" t="s">
        <v>1433</v>
      </c>
      <c r="F78" s="54" t="s">
        <v>1434</v>
      </c>
      <c r="G78" s="54" t="s">
        <v>1425</v>
      </c>
      <c r="H78" s="54" t="s">
        <v>1435</v>
      </c>
      <c r="I78" s="54" t="s">
        <v>50</v>
      </c>
    </row>
    <row r="79" spans="1:9" ht="13">
      <c r="A79" s="54">
        <v>2</v>
      </c>
      <c r="B79" s="54">
        <v>5</v>
      </c>
      <c r="C79" s="54" t="s">
        <v>1422</v>
      </c>
      <c r="D79" s="54">
        <v>6</v>
      </c>
      <c r="E79" s="54" t="s">
        <v>1436</v>
      </c>
      <c r="F79" s="54" t="s">
        <v>1437</v>
      </c>
      <c r="G79" s="54" t="s">
        <v>1425</v>
      </c>
      <c r="H79" s="54" t="s">
        <v>1438</v>
      </c>
      <c r="I79" s="54" t="s">
        <v>50</v>
      </c>
    </row>
    <row r="80" spans="1:9" ht="13">
      <c r="A80" s="54">
        <v>2</v>
      </c>
      <c r="B80" s="54">
        <v>5</v>
      </c>
      <c r="C80" s="54" t="s">
        <v>1439</v>
      </c>
      <c r="D80" s="54">
        <v>1</v>
      </c>
      <c r="E80" s="54" t="s">
        <v>1440</v>
      </c>
      <c r="F80" s="54" t="s">
        <v>1441</v>
      </c>
      <c r="G80" s="54">
        <v>2.6</v>
      </c>
      <c r="H80" s="54" t="s">
        <v>1442</v>
      </c>
      <c r="I80" s="54" t="s">
        <v>50</v>
      </c>
    </row>
    <row r="81" spans="1:9" ht="13">
      <c r="A81" s="54">
        <v>2</v>
      </c>
      <c r="B81" s="54">
        <v>5</v>
      </c>
      <c r="C81" s="54" t="s">
        <v>1439</v>
      </c>
      <c r="D81" s="54">
        <v>2</v>
      </c>
      <c r="E81" s="54" t="s">
        <v>1443</v>
      </c>
      <c r="F81" s="54" t="s">
        <v>1444</v>
      </c>
      <c r="G81" s="54">
        <v>2.6</v>
      </c>
      <c r="H81" s="54" t="s">
        <v>1082</v>
      </c>
      <c r="I81" s="54" t="s">
        <v>50</v>
      </c>
    </row>
    <row r="82" spans="1:9" ht="13">
      <c r="A82" s="54">
        <v>2</v>
      </c>
      <c r="B82" s="54">
        <v>5</v>
      </c>
      <c r="C82" s="54" t="s">
        <v>1439</v>
      </c>
      <c r="D82" s="54">
        <v>3</v>
      </c>
      <c r="E82" s="54" t="s">
        <v>1445</v>
      </c>
      <c r="F82" s="54" t="s">
        <v>1446</v>
      </c>
      <c r="G82" s="54">
        <v>2.6</v>
      </c>
      <c r="H82" s="54" t="s">
        <v>1082</v>
      </c>
      <c r="I82" s="54" t="s">
        <v>50</v>
      </c>
    </row>
    <row r="83" spans="1:9" ht="13">
      <c r="A83" s="54">
        <v>2</v>
      </c>
      <c r="B83" s="54">
        <v>5</v>
      </c>
      <c r="C83" s="54" t="s">
        <v>1439</v>
      </c>
      <c r="D83" s="54">
        <v>4</v>
      </c>
      <c r="E83" s="54" t="s">
        <v>1447</v>
      </c>
      <c r="F83" s="54" t="s">
        <v>1448</v>
      </c>
      <c r="G83" s="54">
        <v>2.6</v>
      </c>
      <c r="H83" s="54" t="s">
        <v>1082</v>
      </c>
      <c r="I83" s="54" t="s">
        <v>50</v>
      </c>
    </row>
    <row r="84" spans="1:9" ht="13">
      <c r="A84" s="54">
        <v>2</v>
      </c>
      <c r="B84" s="54">
        <v>5</v>
      </c>
      <c r="C84" s="54" t="s">
        <v>1439</v>
      </c>
      <c r="D84" s="54">
        <v>5</v>
      </c>
      <c r="E84" s="54" t="s">
        <v>1449</v>
      </c>
      <c r="F84" s="54" t="s">
        <v>1450</v>
      </c>
      <c r="G84" s="54">
        <v>2.6</v>
      </c>
      <c r="H84" s="54" t="s">
        <v>1082</v>
      </c>
      <c r="I84" s="54" t="s">
        <v>50</v>
      </c>
    </row>
    <row r="85" spans="1:9" ht="13">
      <c r="A85" s="54">
        <v>2</v>
      </c>
      <c r="B85" s="54">
        <v>5</v>
      </c>
      <c r="C85" s="54" t="s">
        <v>1439</v>
      </c>
      <c r="D85" s="54">
        <v>6</v>
      </c>
      <c r="E85" s="54" t="s">
        <v>1451</v>
      </c>
      <c r="F85" s="54" t="s">
        <v>1452</v>
      </c>
      <c r="G85" s="54">
        <v>2.6</v>
      </c>
      <c r="H85" s="54" t="s">
        <v>1179</v>
      </c>
      <c r="I85" s="54" t="s">
        <v>50</v>
      </c>
    </row>
    <row r="86" spans="1:9" ht="13">
      <c r="A86" s="54">
        <v>2</v>
      </c>
      <c r="B86" s="54">
        <v>5</v>
      </c>
      <c r="C86" s="54" t="s">
        <v>1453</v>
      </c>
      <c r="D86" s="54">
        <v>1</v>
      </c>
      <c r="E86" s="54" t="s">
        <v>1454</v>
      </c>
      <c r="F86" s="54" t="s">
        <v>1455</v>
      </c>
      <c r="G86" s="54" t="s">
        <v>1351</v>
      </c>
      <c r="H86" s="54" t="s">
        <v>1179</v>
      </c>
      <c r="I86" s="54" t="s">
        <v>56</v>
      </c>
    </row>
    <row r="87" spans="1:9" ht="13">
      <c r="A87" s="54">
        <v>2</v>
      </c>
      <c r="B87" s="54">
        <v>5</v>
      </c>
      <c r="C87" s="54" t="s">
        <v>1453</v>
      </c>
      <c r="D87" s="54">
        <v>2</v>
      </c>
      <c r="E87" s="54" t="s">
        <v>1456</v>
      </c>
      <c r="F87" s="54" t="s">
        <v>1457</v>
      </c>
      <c r="G87" s="54" t="s">
        <v>1351</v>
      </c>
      <c r="H87" s="54" t="s">
        <v>1173</v>
      </c>
      <c r="I87" s="54" t="s">
        <v>56</v>
      </c>
    </row>
    <row r="88" spans="1:9" ht="13">
      <c r="A88" s="54">
        <v>2</v>
      </c>
      <c r="B88" s="54">
        <v>5</v>
      </c>
      <c r="C88" s="54" t="s">
        <v>1453</v>
      </c>
      <c r="D88" s="54">
        <v>3</v>
      </c>
      <c r="E88" s="54" t="s">
        <v>1458</v>
      </c>
      <c r="F88" s="54" t="s">
        <v>1459</v>
      </c>
      <c r="G88" s="54" t="s">
        <v>1351</v>
      </c>
      <c r="H88" s="54" t="s">
        <v>1460</v>
      </c>
      <c r="I88" s="54" t="s">
        <v>56</v>
      </c>
    </row>
    <row r="89" spans="1:9" ht="13">
      <c r="A89" s="54">
        <v>2</v>
      </c>
      <c r="B89" s="54">
        <v>5</v>
      </c>
      <c r="C89" s="54" t="s">
        <v>1453</v>
      </c>
      <c r="D89" s="54">
        <v>4</v>
      </c>
      <c r="E89" s="54" t="s">
        <v>1461</v>
      </c>
      <c r="F89" s="54" t="s">
        <v>1462</v>
      </c>
      <c r="G89" s="54" t="s">
        <v>1351</v>
      </c>
      <c r="H89" s="54" t="s">
        <v>1090</v>
      </c>
      <c r="I89" s="54" t="s">
        <v>56</v>
      </c>
    </row>
    <row r="90" spans="1:9" ht="13">
      <c r="A90" s="54">
        <v>2</v>
      </c>
      <c r="B90" s="54">
        <v>5</v>
      </c>
      <c r="C90" s="54" t="s">
        <v>1453</v>
      </c>
      <c r="D90" s="54">
        <v>5</v>
      </c>
      <c r="E90" s="54" t="s">
        <v>1463</v>
      </c>
      <c r="F90" s="54" t="s">
        <v>1464</v>
      </c>
      <c r="G90" s="54" t="s">
        <v>1351</v>
      </c>
      <c r="H90" s="54" t="s">
        <v>1082</v>
      </c>
      <c r="I90" s="54" t="s">
        <v>56</v>
      </c>
    </row>
    <row r="91" spans="1:9" ht="13">
      <c r="A91" s="54">
        <v>2</v>
      </c>
      <c r="B91" s="54">
        <v>5</v>
      </c>
      <c r="C91" s="54" t="s">
        <v>1453</v>
      </c>
      <c r="D91" s="54">
        <v>6</v>
      </c>
      <c r="E91" s="54" t="s">
        <v>1465</v>
      </c>
      <c r="F91" s="54" t="s">
        <v>1466</v>
      </c>
      <c r="G91" s="54" t="s">
        <v>1351</v>
      </c>
      <c r="H91" s="54" t="s">
        <v>1090</v>
      </c>
      <c r="I91" s="54" t="s">
        <v>56</v>
      </c>
    </row>
    <row r="92" spans="1:9" ht="13">
      <c r="A92" s="54">
        <v>2</v>
      </c>
      <c r="B92" s="54">
        <v>5</v>
      </c>
      <c r="C92" s="54" t="s">
        <v>1467</v>
      </c>
      <c r="D92" s="54">
        <v>1</v>
      </c>
      <c r="E92" s="54" t="s">
        <v>1468</v>
      </c>
      <c r="F92" s="54" t="s">
        <v>1469</v>
      </c>
      <c r="G92" s="54" t="s">
        <v>1274</v>
      </c>
      <c r="H92" s="54" t="s">
        <v>1204</v>
      </c>
      <c r="I92" s="54" t="s">
        <v>1083</v>
      </c>
    </row>
    <row r="93" spans="1:9" ht="13">
      <c r="A93" s="54">
        <v>2</v>
      </c>
      <c r="B93" s="54">
        <v>5</v>
      </c>
      <c r="C93" s="54" t="s">
        <v>1467</v>
      </c>
      <c r="D93" s="54">
        <v>2</v>
      </c>
      <c r="E93" s="54" t="s">
        <v>1470</v>
      </c>
      <c r="F93" s="54" t="s">
        <v>1471</v>
      </c>
      <c r="G93" s="54" t="s">
        <v>1274</v>
      </c>
      <c r="H93" s="54" t="s">
        <v>1300</v>
      </c>
      <c r="I93" s="54" t="s">
        <v>1083</v>
      </c>
    </row>
    <row r="94" spans="1:9" ht="13">
      <c r="A94" s="54">
        <v>2</v>
      </c>
      <c r="B94" s="54">
        <v>5</v>
      </c>
      <c r="C94" s="54" t="s">
        <v>1467</v>
      </c>
      <c r="D94" s="54">
        <v>3</v>
      </c>
      <c r="E94" s="54" t="s">
        <v>1472</v>
      </c>
      <c r="F94" s="54" t="s">
        <v>1473</v>
      </c>
      <c r="G94" s="54" t="s">
        <v>1274</v>
      </c>
      <c r="H94" s="54" t="s">
        <v>12</v>
      </c>
      <c r="I94" s="54" t="s">
        <v>1083</v>
      </c>
    </row>
    <row r="95" spans="1:9" ht="13">
      <c r="A95" s="54">
        <v>2</v>
      </c>
      <c r="B95" s="54">
        <v>5</v>
      </c>
      <c r="C95" s="54" t="s">
        <v>1467</v>
      </c>
      <c r="D95" s="54">
        <v>4</v>
      </c>
      <c r="E95" s="54" t="s">
        <v>1474</v>
      </c>
      <c r="F95" s="54" t="s">
        <v>1475</v>
      </c>
      <c r="G95" s="54" t="s">
        <v>1274</v>
      </c>
      <c r="H95" s="54" t="s">
        <v>1204</v>
      </c>
      <c r="I95" s="54" t="s">
        <v>1083</v>
      </c>
    </row>
    <row r="96" spans="1:9" ht="13">
      <c r="A96" s="54">
        <v>2</v>
      </c>
      <c r="B96" s="54">
        <v>5</v>
      </c>
      <c r="C96" s="54" t="s">
        <v>1467</v>
      </c>
      <c r="D96" s="54">
        <v>5</v>
      </c>
      <c r="E96" s="54" t="s">
        <v>1476</v>
      </c>
      <c r="F96" s="54" t="s">
        <v>1477</v>
      </c>
      <c r="G96" s="54" t="s">
        <v>1274</v>
      </c>
      <c r="H96" s="54" t="s">
        <v>1204</v>
      </c>
      <c r="I96" s="54" t="s">
        <v>1083</v>
      </c>
    </row>
    <row r="97" spans="1:9" ht="13">
      <c r="A97" s="54">
        <v>2</v>
      </c>
      <c r="B97" s="54">
        <v>5</v>
      </c>
      <c r="C97" s="54" t="s">
        <v>1467</v>
      </c>
      <c r="D97" s="54">
        <v>6</v>
      </c>
      <c r="E97" s="54" t="s">
        <v>1478</v>
      </c>
      <c r="F97" s="54" t="s">
        <v>1479</v>
      </c>
      <c r="G97" s="54" t="s">
        <v>1274</v>
      </c>
      <c r="H97" s="54" t="s">
        <v>1204</v>
      </c>
      <c r="I97" s="54" t="s">
        <v>1083</v>
      </c>
    </row>
    <row r="98" spans="1:9" ht="13">
      <c r="A98" s="54">
        <v>2</v>
      </c>
      <c r="B98" s="54">
        <v>5</v>
      </c>
      <c r="C98" s="54" t="s">
        <v>1480</v>
      </c>
      <c r="D98" s="54">
        <v>1</v>
      </c>
      <c r="E98" s="54" t="s">
        <v>1481</v>
      </c>
      <c r="F98" s="54" t="s">
        <v>1482</v>
      </c>
      <c r="G98" s="54" t="s">
        <v>1304</v>
      </c>
      <c r="H98" s="54" t="s">
        <v>1483</v>
      </c>
      <c r="I98" s="54" t="s">
        <v>1083</v>
      </c>
    </row>
    <row r="99" spans="1:9" ht="13">
      <c r="A99" s="54">
        <v>2</v>
      </c>
      <c r="B99" s="54">
        <v>5</v>
      </c>
      <c r="C99" s="54" t="s">
        <v>1480</v>
      </c>
      <c r="D99" s="54">
        <v>2</v>
      </c>
      <c r="E99" s="54" t="s">
        <v>1484</v>
      </c>
      <c r="F99" s="54" t="s">
        <v>1485</v>
      </c>
      <c r="G99" s="54" t="s">
        <v>1304</v>
      </c>
      <c r="H99" s="54" t="s">
        <v>1483</v>
      </c>
      <c r="I99" s="54" t="s">
        <v>1083</v>
      </c>
    </row>
    <row r="100" spans="1:9" ht="13">
      <c r="A100" s="54">
        <v>2</v>
      </c>
      <c r="B100" s="54">
        <v>5</v>
      </c>
      <c r="C100" s="54" t="s">
        <v>1480</v>
      </c>
      <c r="D100" s="54">
        <v>3</v>
      </c>
      <c r="E100" s="54" t="s">
        <v>1486</v>
      </c>
      <c r="F100" s="54" t="s">
        <v>1487</v>
      </c>
      <c r="G100" s="54" t="s">
        <v>1304</v>
      </c>
      <c r="H100" s="54" t="s">
        <v>1483</v>
      </c>
      <c r="I100" s="54" t="s">
        <v>1083</v>
      </c>
    </row>
    <row r="101" spans="1:9" ht="13">
      <c r="A101" s="54">
        <v>2</v>
      </c>
      <c r="B101" s="54">
        <v>5</v>
      </c>
      <c r="C101" s="54" t="s">
        <v>1480</v>
      </c>
      <c r="D101" s="54">
        <v>4</v>
      </c>
      <c r="E101" s="54" t="s">
        <v>1488</v>
      </c>
      <c r="F101" s="54" t="s">
        <v>1489</v>
      </c>
      <c r="G101" s="54" t="s">
        <v>1304</v>
      </c>
      <c r="H101" s="54" t="s">
        <v>27</v>
      </c>
      <c r="I101" s="54" t="s">
        <v>1083</v>
      </c>
    </row>
    <row r="102" spans="1:9" ht="13">
      <c r="A102" s="54">
        <v>2</v>
      </c>
      <c r="B102" s="54">
        <v>5</v>
      </c>
      <c r="C102" s="54" t="s">
        <v>1480</v>
      </c>
      <c r="D102" s="54">
        <v>5</v>
      </c>
      <c r="E102" s="54" t="s">
        <v>1490</v>
      </c>
      <c r="F102" s="54" t="s">
        <v>1491</v>
      </c>
      <c r="G102" s="54" t="s">
        <v>1304</v>
      </c>
      <c r="H102" s="54" t="s">
        <v>1492</v>
      </c>
      <c r="I102" s="54" t="s">
        <v>1083</v>
      </c>
    </row>
    <row r="103" spans="1:9" ht="13">
      <c r="A103" s="54">
        <v>2</v>
      </c>
      <c r="B103" s="54">
        <v>5</v>
      </c>
      <c r="C103" s="54" t="s">
        <v>1480</v>
      </c>
      <c r="D103" s="54">
        <v>6</v>
      </c>
      <c r="E103" s="54" t="s">
        <v>1493</v>
      </c>
      <c r="F103" s="54" t="s">
        <v>1494</v>
      </c>
      <c r="G103" s="54" t="s">
        <v>1304</v>
      </c>
      <c r="H103" s="54" t="s">
        <v>1492</v>
      </c>
      <c r="I103" s="54" t="s">
        <v>1083</v>
      </c>
    </row>
    <row r="104" spans="1:9" ht="13">
      <c r="A104" s="54">
        <v>2</v>
      </c>
      <c r="B104" s="54">
        <v>5</v>
      </c>
      <c r="C104" s="54" t="s">
        <v>1495</v>
      </c>
      <c r="D104" s="54">
        <v>1</v>
      </c>
      <c r="E104" s="54" t="s">
        <v>1496</v>
      </c>
      <c r="F104" s="54" t="s">
        <v>1497</v>
      </c>
      <c r="G104" s="54" t="s">
        <v>1304</v>
      </c>
      <c r="H104" s="54" t="s">
        <v>1221</v>
      </c>
      <c r="I104" s="54" t="s">
        <v>1083</v>
      </c>
    </row>
    <row r="105" spans="1:9" ht="13">
      <c r="A105" s="54">
        <v>2</v>
      </c>
      <c r="B105" s="54">
        <v>5</v>
      </c>
      <c r="C105" s="54" t="s">
        <v>1495</v>
      </c>
      <c r="D105" s="54">
        <v>2</v>
      </c>
      <c r="E105" s="54" t="s">
        <v>1498</v>
      </c>
      <c r="F105" s="54" t="s">
        <v>1499</v>
      </c>
      <c r="G105" s="54" t="s">
        <v>1304</v>
      </c>
      <c r="H105" s="54" t="s">
        <v>1221</v>
      </c>
      <c r="I105" s="54" t="s">
        <v>1083</v>
      </c>
    </row>
    <row r="106" spans="1:9" ht="13">
      <c r="A106" s="54">
        <v>2</v>
      </c>
      <c r="B106" s="54">
        <v>5</v>
      </c>
      <c r="C106" s="54" t="s">
        <v>1495</v>
      </c>
      <c r="D106" s="54">
        <v>3</v>
      </c>
      <c r="E106" s="54" t="s">
        <v>1500</v>
      </c>
      <c r="F106" s="54" t="s">
        <v>1501</v>
      </c>
      <c r="G106" s="54" t="s">
        <v>1304</v>
      </c>
      <c r="H106" s="54" t="s">
        <v>1221</v>
      </c>
      <c r="I106" s="54" t="s">
        <v>1083</v>
      </c>
    </row>
    <row r="107" spans="1:9" ht="13">
      <c r="A107" s="54">
        <v>2</v>
      </c>
      <c r="B107" s="54">
        <v>5</v>
      </c>
      <c r="C107" s="54" t="s">
        <v>1495</v>
      </c>
      <c r="D107" s="54">
        <v>4</v>
      </c>
      <c r="E107" s="54" t="s">
        <v>1502</v>
      </c>
      <c r="F107" s="54" t="s">
        <v>1503</v>
      </c>
      <c r="G107" s="54" t="s">
        <v>1304</v>
      </c>
      <c r="H107" s="54" t="s">
        <v>1150</v>
      </c>
      <c r="I107" s="54" t="s">
        <v>1083</v>
      </c>
    </row>
    <row r="108" spans="1:9" ht="13">
      <c r="A108" s="54">
        <v>2</v>
      </c>
      <c r="B108" s="54">
        <v>5</v>
      </c>
      <c r="C108" s="54" t="s">
        <v>1495</v>
      </c>
      <c r="D108" s="54">
        <v>5</v>
      </c>
      <c r="E108" s="54" t="s">
        <v>1504</v>
      </c>
      <c r="F108" s="54" t="s">
        <v>1505</v>
      </c>
      <c r="G108" s="54" t="s">
        <v>1304</v>
      </c>
      <c r="H108" s="54" t="s">
        <v>1150</v>
      </c>
      <c r="I108" s="54" t="s">
        <v>1083</v>
      </c>
    </row>
    <row r="109" spans="1:9" ht="13">
      <c r="A109" s="54">
        <v>2</v>
      </c>
      <c r="B109" s="54">
        <v>5</v>
      </c>
      <c r="C109" s="54" t="s">
        <v>1495</v>
      </c>
      <c r="D109" s="54">
        <v>6</v>
      </c>
      <c r="E109" s="54" t="s">
        <v>1506</v>
      </c>
      <c r="F109" s="54" t="s">
        <v>1507</v>
      </c>
      <c r="G109" s="54" t="s">
        <v>1304</v>
      </c>
      <c r="H109" s="54" t="s">
        <v>1150</v>
      </c>
      <c r="I109" s="54" t="s">
        <v>1083</v>
      </c>
    </row>
    <row r="110" spans="1:9" ht="13">
      <c r="A110" s="54">
        <v>2</v>
      </c>
      <c r="B110" s="54">
        <v>6</v>
      </c>
      <c r="C110" s="54" t="s">
        <v>1508</v>
      </c>
      <c r="D110" s="54">
        <v>1</v>
      </c>
      <c r="E110" s="54" t="s">
        <v>1509</v>
      </c>
      <c r="F110" s="54" t="s">
        <v>1510</v>
      </c>
      <c r="G110" s="54" t="s">
        <v>1511</v>
      </c>
      <c r="H110" s="54" t="s">
        <v>1435</v>
      </c>
      <c r="I110" s="54" t="s">
        <v>57</v>
      </c>
    </row>
    <row r="111" spans="1:9" ht="13">
      <c r="A111" s="54">
        <v>2</v>
      </c>
      <c r="B111" s="54">
        <v>6</v>
      </c>
      <c r="C111" s="54" t="s">
        <v>1508</v>
      </c>
      <c r="D111" s="54">
        <v>2</v>
      </c>
      <c r="E111" s="54" t="s">
        <v>1512</v>
      </c>
      <c r="F111" s="54" t="s">
        <v>1513</v>
      </c>
      <c r="G111" s="54" t="s">
        <v>1511</v>
      </c>
      <c r="H111" s="54" t="s">
        <v>1435</v>
      </c>
      <c r="I111" s="54" t="s">
        <v>57</v>
      </c>
    </row>
    <row r="112" spans="1:9" ht="13">
      <c r="A112" s="54">
        <v>2</v>
      </c>
      <c r="B112" s="54">
        <v>6</v>
      </c>
      <c r="C112" s="54" t="s">
        <v>1508</v>
      </c>
      <c r="D112" s="54">
        <v>3</v>
      </c>
      <c r="E112" s="54" t="s">
        <v>1514</v>
      </c>
      <c r="F112" s="54" t="s">
        <v>1515</v>
      </c>
      <c r="G112" s="54" t="s">
        <v>1511</v>
      </c>
      <c r="H112" s="54" t="s">
        <v>1435</v>
      </c>
      <c r="I112" s="54" t="s">
        <v>57</v>
      </c>
    </row>
    <row r="113" spans="1:9" ht="13">
      <c r="A113" s="54">
        <v>2</v>
      </c>
      <c r="B113" s="54">
        <v>6</v>
      </c>
      <c r="C113" s="54" t="s">
        <v>1508</v>
      </c>
      <c r="D113" s="54">
        <v>4</v>
      </c>
      <c r="E113" s="54" t="s">
        <v>1516</v>
      </c>
      <c r="F113" s="54" t="s">
        <v>1517</v>
      </c>
      <c r="G113" s="54" t="s">
        <v>1511</v>
      </c>
      <c r="H113" s="54" t="s">
        <v>1518</v>
      </c>
      <c r="I113" s="54" t="s">
        <v>57</v>
      </c>
    </row>
    <row r="114" spans="1:9" ht="13">
      <c r="A114" s="54">
        <v>2</v>
      </c>
      <c r="B114" s="54">
        <v>6</v>
      </c>
      <c r="C114" s="54" t="s">
        <v>1508</v>
      </c>
      <c r="D114" s="54">
        <v>5</v>
      </c>
      <c r="E114" s="54" t="s">
        <v>1519</v>
      </c>
      <c r="F114" s="54" t="s">
        <v>1520</v>
      </c>
      <c r="G114" s="54" t="s">
        <v>1511</v>
      </c>
      <c r="H114" s="54" t="s">
        <v>1435</v>
      </c>
      <c r="I114" s="54" t="s">
        <v>57</v>
      </c>
    </row>
    <row r="115" spans="1:9" ht="13">
      <c r="A115" s="54">
        <v>2</v>
      </c>
      <c r="B115" s="54">
        <v>6</v>
      </c>
      <c r="C115" s="54" t="s">
        <v>1508</v>
      </c>
      <c r="D115" s="54">
        <v>6</v>
      </c>
      <c r="E115" s="54" t="s">
        <v>1521</v>
      </c>
      <c r="F115" s="54" t="s">
        <v>1522</v>
      </c>
      <c r="G115" s="54" t="s">
        <v>1511</v>
      </c>
      <c r="H115" s="54" t="s">
        <v>1438</v>
      </c>
      <c r="I115" s="54" t="s">
        <v>57</v>
      </c>
    </row>
    <row r="116" spans="1:9" ht="13">
      <c r="A116" s="54">
        <v>2</v>
      </c>
      <c r="B116" s="54">
        <v>6</v>
      </c>
      <c r="C116" s="54" t="s">
        <v>1523</v>
      </c>
      <c r="D116" s="54">
        <v>1</v>
      </c>
      <c r="E116" s="54" t="s">
        <v>1524</v>
      </c>
      <c r="F116" s="54" t="s">
        <v>1525</v>
      </c>
      <c r="G116" s="54" t="s">
        <v>1260</v>
      </c>
      <c r="H116" s="54" t="s">
        <v>1082</v>
      </c>
      <c r="I116" s="54" t="s">
        <v>51</v>
      </c>
    </row>
    <row r="117" spans="1:9" ht="13">
      <c r="A117" s="54">
        <v>2</v>
      </c>
      <c r="B117" s="54">
        <v>6</v>
      </c>
      <c r="C117" s="54" t="s">
        <v>1523</v>
      </c>
      <c r="D117" s="54">
        <v>2</v>
      </c>
      <c r="E117" s="54" t="s">
        <v>1526</v>
      </c>
      <c r="F117" s="54" t="s">
        <v>1527</v>
      </c>
      <c r="G117" s="54" t="s">
        <v>1260</v>
      </c>
      <c r="H117" s="54" t="s">
        <v>1082</v>
      </c>
      <c r="I117" s="54" t="s">
        <v>51</v>
      </c>
    </row>
    <row r="118" spans="1:9" ht="13">
      <c r="A118" s="54">
        <v>2</v>
      </c>
      <c r="B118" s="54">
        <v>6</v>
      </c>
      <c r="C118" s="54" t="s">
        <v>1523</v>
      </c>
      <c r="D118" s="54">
        <v>3</v>
      </c>
      <c r="E118" s="54" t="s">
        <v>1528</v>
      </c>
      <c r="F118" s="54" t="s">
        <v>1529</v>
      </c>
      <c r="G118" s="54" t="s">
        <v>1260</v>
      </c>
      <c r="H118" s="54" t="s">
        <v>1082</v>
      </c>
      <c r="I118" s="54" t="s">
        <v>51</v>
      </c>
    </row>
    <row r="119" spans="1:9" ht="13">
      <c r="A119" s="54">
        <v>2</v>
      </c>
      <c r="B119" s="54">
        <v>6</v>
      </c>
      <c r="C119" s="54" t="s">
        <v>1523</v>
      </c>
      <c r="D119" s="54">
        <v>4</v>
      </c>
      <c r="E119" s="54" t="s">
        <v>1530</v>
      </c>
      <c r="F119" s="54" t="s">
        <v>1531</v>
      </c>
      <c r="G119" s="54" t="s">
        <v>1260</v>
      </c>
      <c r="H119" s="54" t="s">
        <v>1082</v>
      </c>
      <c r="I119" s="54" t="s">
        <v>51</v>
      </c>
    </row>
    <row r="120" spans="1:9" ht="13">
      <c r="A120" s="54">
        <v>2</v>
      </c>
      <c r="B120" s="54">
        <v>6</v>
      </c>
      <c r="C120" s="54" t="s">
        <v>1523</v>
      </c>
      <c r="D120" s="54">
        <v>5</v>
      </c>
      <c r="E120" s="54" t="s">
        <v>1532</v>
      </c>
      <c r="F120" s="54" t="s">
        <v>1533</v>
      </c>
      <c r="G120" s="54" t="s">
        <v>1260</v>
      </c>
      <c r="H120" s="54" t="s">
        <v>1090</v>
      </c>
      <c r="I120" s="54" t="s">
        <v>51</v>
      </c>
    </row>
    <row r="121" spans="1:9" ht="13">
      <c r="A121" s="54">
        <v>2</v>
      </c>
      <c r="B121" s="54">
        <v>6</v>
      </c>
      <c r="C121" s="54" t="s">
        <v>1523</v>
      </c>
      <c r="D121" s="54">
        <v>6</v>
      </c>
      <c r="E121" s="54" t="s">
        <v>1534</v>
      </c>
      <c r="F121" s="54" t="s">
        <v>1535</v>
      </c>
      <c r="G121" s="54" t="s">
        <v>1260</v>
      </c>
      <c r="H121" s="54" t="s">
        <v>1090</v>
      </c>
      <c r="I121" s="54" t="s">
        <v>51</v>
      </c>
    </row>
    <row r="122" spans="1:9" ht="13">
      <c r="A122" s="54">
        <v>2</v>
      </c>
      <c r="B122" s="54">
        <v>6</v>
      </c>
      <c r="C122" s="54" t="s">
        <v>1536</v>
      </c>
      <c r="D122" s="54">
        <v>1</v>
      </c>
      <c r="E122" s="54" t="s">
        <v>1537</v>
      </c>
      <c r="F122" s="54" t="s">
        <v>1538</v>
      </c>
      <c r="G122" s="54" t="s">
        <v>1351</v>
      </c>
      <c r="H122" s="54" t="s">
        <v>1539</v>
      </c>
      <c r="I122" s="54" t="s">
        <v>58</v>
      </c>
    </row>
    <row r="123" spans="1:9" ht="13">
      <c r="A123" s="54">
        <v>2</v>
      </c>
      <c r="B123" s="54">
        <v>6</v>
      </c>
      <c r="C123" s="54" t="s">
        <v>1536</v>
      </c>
      <c r="D123" s="54">
        <v>2</v>
      </c>
      <c r="E123" s="54" t="s">
        <v>1540</v>
      </c>
      <c r="F123" s="54" t="s">
        <v>1541</v>
      </c>
      <c r="G123" s="54" t="s">
        <v>1351</v>
      </c>
      <c r="H123" s="54" t="s">
        <v>1179</v>
      </c>
      <c r="I123" s="54" t="s">
        <v>58</v>
      </c>
    </row>
    <row r="124" spans="1:9" ht="13">
      <c r="A124" s="54">
        <v>2</v>
      </c>
      <c r="B124" s="54">
        <v>6</v>
      </c>
      <c r="C124" s="54" t="s">
        <v>1536</v>
      </c>
      <c r="D124" s="54">
        <v>3</v>
      </c>
      <c r="E124" s="54" t="s">
        <v>1542</v>
      </c>
      <c r="F124" s="54" t="s">
        <v>1543</v>
      </c>
      <c r="G124" s="54" t="s">
        <v>1351</v>
      </c>
      <c r="H124" s="54" t="s">
        <v>1544</v>
      </c>
      <c r="I124" s="54" t="s">
        <v>58</v>
      </c>
    </row>
    <row r="125" spans="1:9" ht="13">
      <c r="A125" s="54">
        <v>2</v>
      </c>
      <c r="B125" s="54">
        <v>6</v>
      </c>
      <c r="C125" s="54" t="s">
        <v>1536</v>
      </c>
      <c r="D125" s="54">
        <v>4</v>
      </c>
      <c r="E125" s="54" t="s">
        <v>1545</v>
      </c>
      <c r="F125" s="54" t="s">
        <v>1546</v>
      </c>
      <c r="G125" s="54" t="s">
        <v>1351</v>
      </c>
      <c r="H125" s="54" t="s">
        <v>1090</v>
      </c>
      <c r="I125" s="54" t="s">
        <v>58</v>
      </c>
    </row>
    <row r="126" spans="1:9" ht="13">
      <c r="A126" s="54">
        <v>2</v>
      </c>
      <c r="B126" s="54">
        <v>6</v>
      </c>
      <c r="C126" s="54" t="s">
        <v>1536</v>
      </c>
      <c r="D126" s="54">
        <v>5</v>
      </c>
      <c r="E126" s="54" t="s">
        <v>1547</v>
      </c>
      <c r="F126" s="54" t="s">
        <v>1548</v>
      </c>
      <c r="G126" s="54" t="s">
        <v>1351</v>
      </c>
      <c r="H126" s="54" t="s">
        <v>1549</v>
      </c>
      <c r="I126" s="54" t="s">
        <v>58</v>
      </c>
    </row>
    <row r="127" spans="1:9" ht="13">
      <c r="A127" s="54">
        <v>2</v>
      </c>
      <c r="B127" s="54">
        <v>6</v>
      </c>
      <c r="C127" s="54" t="s">
        <v>1536</v>
      </c>
      <c r="D127" s="54">
        <v>6</v>
      </c>
      <c r="E127" s="54" t="s">
        <v>1550</v>
      </c>
      <c r="F127" s="54" t="s">
        <v>1551</v>
      </c>
      <c r="G127" s="54" t="s">
        <v>1351</v>
      </c>
      <c r="H127" s="54" t="s">
        <v>1552</v>
      </c>
      <c r="I127" s="54" t="s">
        <v>58</v>
      </c>
    </row>
    <row r="128" spans="1:9" ht="13">
      <c r="A128" s="54">
        <v>2</v>
      </c>
      <c r="B128" s="54">
        <v>6</v>
      </c>
      <c r="C128" s="54" t="s">
        <v>1553</v>
      </c>
      <c r="D128" s="54">
        <v>1</v>
      </c>
      <c r="E128" s="54" t="s">
        <v>1554</v>
      </c>
      <c r="F128" s="54" t="s">
        <v>1555</v>
      </c>
      <c r="G128" s="54">
        <v>2.6</v>
      </c>
      <c r="H128" s="54" t="s">
        <v>12</v>
      </c>
      <c r="I128" s="54" t="s">
        <v>1083</v>
      </c>
    </row>
    <row r="129" spans="1:9" ht="13">
      <c r="A129" s="54">
        <v>2</v>
      </c>
      <c r="B129" s="54">
        <v>6</v>
      </c>
      <c r="C129" s="54" t="s">
        <v>1553</v>
      </c>
      <c r="D129" s="54">
        <v>2</v>
      </c>
      <c r="E129" s="54" t="s">
        <v>1556</v>
      </c>
      <c r="F129" s="54" t="s">
        <v>1557</v>
      </c>
      <c r="G129" s="54">
        <v>2.6</v>
      </c>
      <c r="H129" s="54" t="s">
        <v>12</v>
      </c>
      <c r="I129" s="54" t="s">
        <v>1083</v>
      </c>
    </row>
    <row r="130" spans="1:9" ht="13">
      <c r="A130" s="54">
        <v>2</v>
      </c>
      <c r="B130" s="54">
        <v>6</v>
      </c>
      <c r="C130" s="54" t="s">
        <v>1553</v>
      </c>
      <c r="D130" s="54">
        <v>3</v>
      </c>
      <c r="E130" s="54" t="s">
        <v>1558</v>
      </c>
      <c r="F130" s="54" t="s">
        <v>1559</v>
      </c>
      <c r="G130" s="54">
        <v>2.6</v>
      </c>
      <c r="H130" s="54" t="s">
        <v>1560</v>
      </c>
      <c r="I130" s="54" t="s">
        <v>1083</v>
      </c>
    </row>
    <row r="131" spans="1:9" ht="13">
      <c r="A131" s="54">
        <v>2</v>
      </c>
      <c r="B131" s="54">
        <v>6</v>
      </c>
      <c r="C131" s="54" t="s">
        <v>1553</v>
      </c>
      <c r="D131" s="54">
        <v>4</v>
      </c>
      <c r="E131" s="54" t="s">
        <v>1561</v>
      </c>
      <c r="F131" s="54" t="s">
        <v>1562</v>
      </c>
      <c r="G131" s="54">
        <v>2.6</v>
      </c>
      <c r="H131" s="54" t="s">
        <v>1560</v>
      </c>
      <c r="I131" s="54" t="s">
        <v>1083</v>
      </c>
    </row>
    <row r="132" spans="1:9" ht="13">
      <c r="A132" s="54">
        <v>2</v>
      </c>
      <c r="B132" s="54">
        <v>6</v>
      </c>
      <c r="C132" s="54" t="s">
        <v>1553</v>
      </c>
      <c r="D132" s="54">
        <v>5</v>
      </c>
      <c r="E132" s="54" t="s">
        <v>1563</v>
      </c>
      <c r="F132" s="54" t="s">
        <v>1564</v>
      </c>
      <c r="G132" s="54">
        <v>2.6</v>
      </c>
      <c r="H132" s="54" t="s">
        <v>1204</v>
      </c>
      <c r="I132" s="54" t="s">
        <v>1083</v>
      </c>
    </row>
    <row r="133" spans="1:9" ht="13">
      <c r="A133" s="54">
        <v>2</v>
      </c>
      <c r="B133" s="54">
        <v>6</v>
      </c>
      <c r="C133" s="54" t="s">
        <v>1553</v>
      </c>
      <c r="D133" s="54">
        <v>6</v>
      </c>
      <c r="E133" s="54" t="s">
        <v>1565</v>
      </c>
      <c r="F133" s="54" t="s">
        <v>1566</v>
      </c>
      <c r="G133" s="54">
        <v>2.6</v>
      </c>
      <c r="H133" s="54" t="s">
        <v>1442</v>
      </c>
      <c r="I133" s="54" t="s">
        <v>1083</v>
      </c>
    </row>
    <row r="134" spans="1:9" ht="13">
      <c r="A134" s="54">
        <v>2</v>
      </c>
      <c r="B134" s="54">
        <v>6</v>
      </c>
      <c r="C134" s="54" t="s">
        <v>1567</v>
      </c>
      <c r="D134" s="54">
        <v>1</v>
      </c>
      <c r="E134" s="54" t="s">
        <v>1568</v>
      </c>
      <c r="F134" s="54" t="s">
        <v>1569</v>
      </c>
      <c r="G134" s="54" t="s">
        <v>1304</v>
      </c>
      <c r="H134" s="54" t="s">
        <v>27</v>
      </c>
      <c r="I134" s="54" t="s">
        <v>1083</v>
      </c>
    </row>
    <row r="135" spans="1:9" ht="13">
      <c r="A135" s="54">
        <v>2</v>
      </c>
      <c r="B135" s="54">
        <v>6</v>
      </c>
      <c r="C135" s="54" t="s">
        <v>1567</v>
      </c>
      <c r="D135" s="54">
        <v>2</v>
      </c>
      <c r="E135" s="54" t="s">
        <v>1570</v>
      </c>
      <c r="F135" s="54" t="s">
        <v>1571</v>
      </c>
      <c r="G135" s="54" t="s">
        <v>1304</v>
      </c>
      <c r="H135" s="54" t="s">
        <v>27</v>
      </c>
      <c r="I135" s="54" t="s">
        <v>1083</v>
      </c>
    </row>
    <row r="136" spans="1:9" ht="13">
      <c r="A136" s="54">
        <v>2</v>
      </c>
      <c r="B136" s="54">
        <v>6</v>
      </c>
      <c r="C136" s="54" t="s">
        <v>1567</v>
      </c>
      <c r="D136" s="54">
        <v>3</v>
      </c>
      <c r="E136" s="54" t="s">
        <v>1572</v>
      </c>
      <c r="F136" s="54" t="s">
        <v>1573</v>
      </c>
      <c r="G136" s="54" t="s">
        <v>1304</v>
      </c>
      <c r="H136" s="54" t="s">
        <v>1150</v>
      </c>
      <c r="I136" s="54" t="s">
        <v>1083</v>
      </c>
    </row>
    <row r="137" spans="1:9" ht="13">
      <c r="A137" s="54">
        <v>2</v>
      </c>
      <c r="B137" s="54">
        <v>6</v>
      </c>
      <c r="C137" s="54" t="s">
        <v>1567</v>
      </c>
      <c r="D137" s="54">
        <v>4</v>
      </c>
      <c r="E137" s="54" t="s">
        <v>1574</v>
      </c>
      <c r="F137" s="54" t="s">
        <v>1575</v>
      </c>
      <c r="G137" s="54" t="s">
        <v>1304</v>
      </c>
      <c r="H137" s="54" t="s">
        <v>1150</v>
      </c>
      <c r="I137" s="54" t="s">
        <v>1083</v>
      </c>
    </row>
    <row r="138" spans="1:9" ht="13">
      <c r="A138" s="54">
        <v>2</v>
      </c>
      <c r="B138" s="54">
        <v>6</v>
      </c>
      <c r="C138" s="54" t="s">
        <v>1567</v>
      </c>
      <c r="D138" s="54">
        <v>5</v>
      </c>
      <c r="E138" s="54" t="s">
        <v>1576</v>
      </c>
      <c r="F138" s="54" t="s">
        <v>1577</v>
      </c>
      <c r="G138" s="54" t="s">
        <v>1304</v>
      </c>
      <c r="H138" s="54" t="s">
        <v>1150</v>
      </c>
      <c r="I138" s="54" t="s">
        <v>1083</v>
      </c>
    </row>
    <row r="139" spans="1:9" ht="13">
      <c r="A139" s="54">
        <v>2</v>
      </c>
      <c r="B139" s="54">
        <v>6</v>
      </c>
      <c r="C139" s="54" t="s">
        <v>1567</v>
      </c>
      <c r="D139" s="54">
        <v>6</v>
      </c>
      <c r="E139" s="54" t="s">
        <v>1578</v>
      </c>
      <c r="F139" s="54" t="s">
        <v>1579</v>
      </c>
      <c r="G139" s="54" t="s">
        <v>1304</v>
      </c>
      <c r="H139" s="54" t="s">
        <v>1150</v>
      </c>
      <c r="I139" s="54" t="s">
        <v>1083</v>
      </c>
    </row>
    <row r="140" spans="1:9" ht="13">
      <c r="A140" s="54">
        <v>2</v>
      </c>
      <c r="B140" s="54">
        <v>6</v>
      </c>
      <c r="C140" s="54" t="s">
        <v>1580</v>
      </c>
      <c r="D140" s="54">
        <v>1</v>
      </c>
      <c r="E140" s="54" t="s">
        <v>1581</v>
      </c>
      <c r="F140" s="54" t="s">
        <v>1582</v>
      </c>
      <c r="G140" s="54" t="s">
        <v>1304</v>
      </c>
      <c r="H140" s="54" t="s">
        <v>1483</v>
      </c>
      <c r="I140" s="54" t="s">
        <v>1083</v>
      </c>
    </row>
    <row r="141" spans="1:9" ht="13">
      <c r="A141" s="54">
        <v>2</v>
      </c>
      <c r="B141" s="54">
        <v>6</v>
      </c>
      <c r="C141" s="54" t="s">
        <v>1580</v>
      </c>
      <c r="D141" s="54">
        <v>2</v>
      </c>
      <c r="E141" s="54" t="s">
        <v>1583</v>
      </c>
      <c r="F141" s="54" t="s">
        <v>1584</v>
      </c>
      <c r="G141" s="54" t="s">
        <v>1304</v>
      </c>
      <c r="H141" s="54" t="s">
        <v>1483</v>
      </c>
      <c r="I141" s="54" t="s">
        <v>1083</v>
      </c>
    </row>
    <row r="142" spans="1:9" ht="13">
      <c r="A142" s="54">
        <v>2</v>
      </c>
      <c r="B142" s="54">
        <v>6</v>
      </c>
      <c r="C142" s="54" t="s">
        <v>1580</v>
      </c>
      <c r="D142" s="54">
        <v>3</v>
      </c>
      <c r="E142" s="54" t="s">
        <v>1585</v>
      </c>
      <c r="F142" s="54" t="s">
        <v>1586</v>
      </c>
      <c r="G142" s="54" t="s">
        <v>1304</v>
      </c>
      <c r="H142" s="54" t="s">
        <v>1483</v>
      </c>
      <c r="I142" s="54" t="s">
        <v>1083</v>
      </c>
    </row>
    <row r="143" spans="1:9" ht="13">
      <c r="A143" s="54">
        <v>2</v>
      </c>
      <c r="B143" s="54">
        <v>6</v>
      </c>
      <c r="C143" s="54" t="s">
        <v>1580</v>
      </c>
      <c r="D143" s="54">
        <v>4</v>
      </c>
      <c r="E143" s="54" t="s">
        <v>1587</v>
      </c>
      <c r="F143" s="54" t="s">
        <v>1588</v>
      </c>
      <c r="G143" s="54" t="s">
        <v>1304</v>
      </c>
      <c r="H143" s="54" t="s">
        <v>1483</v>
      </c>
      <c r="I143" s="54" t="s">
        <v>1083</v>
      </c>
    </row>
    <row r="144" spans="1:9" ht="13">
      <c r="A144" s="54">
        <v>2</v>
      </c>
      <c r="B144" s="54">
        <v>6</v>
      </c>
      <c r="C144" s="54" t="s">
        <v>1580</v>
      </c>
      <c r="D144" s="54">
        <v>5</v>
      </c>
      <c r="E144" s="54" t="s">
        <v>1589</v>
      </c>
      <c r="F144" s="54" t="s">
        <v>1590</v>
      </c>
      <c r="G144" s="54" t="s">
        <v>1304</v>
      </c>
      <c r="H144" s="54" t="s">
        <v>1492</v>
      </c>
      <c r="I144" s="54" t="s">
        <v>1083</v>
      </c>
    </row>
    <row r="145" spans="1:9" ht="13">
      <c r="A145" s="54">
        <v>2</v>
      </c>
      <c r="B145" s="54">
        <v>6</v>
      </c>
      <c r="C145" s="54" t="s">
        <v>1580</v>
      </c>
      <c r="D145" s="54">
        <v>6</v>
      </c>
      <c r="E145" s="54" t="s">
        <v>1591</v>
      </c>
      <c r="F145" s="54" t="s">
        <v>1592</v>
      </c>
      <c r="G145" s="54" t="s">
        <v>1304</v>
      </c>
      <c r="H145" s="54" t="s">
        <v>1492</v>
      </c>
      <c r="I145" s="54" t="s">
        <v>1083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I292"/>
  <sheetViews>
    <sheetView workbookViewId="0"/>
  </sheetViews>
  <sheetFormatPr baseColWidth="10" defaultColWidth="12.6640625" defaultRowHeight="15.75" customHeight="1"/>
  <cols>
    <col min="3" max="3" width="66.6640625" customWidth="1"/>
  </cols>
  <sheetData>
    <row r="1" spans="1:9" ht="15.75" customHeight="1">
      <c r="A1" s="54" t="s">
        <v>1056</v>
      </c>
      <c r="B1" s="54" t="s">
        <v>1057</v>
      </c>
      <c r="C1" s="54" t="s">
        <v>1058</v>
      </c>
      <c r="D1" s="54" t="s">
        <v>1059</v>
      </c>
      <c r="E1" s="54"/>
      <c r="F1" s="54" t="s">
        <v>1061</v>
      </c>
      <c r="G1" s="54" t="s">
        <v>1061</v>
      </c>
      <c r="H1" s="54" t="s">
        <v>1061</v>
      </c>
      <c r="I1" s="54" t="s">
        <v>1061</v>
      </c>
    </row>
    <row r="2" spans="1:9" ht="15.75" customHeight="1">
      <c r="A2" s="54">
        <v>3</v>
      </c>
      <c r="B2" s="54">
        <v>7</v>
      </c>
      <c r="C2" s="54" t="s">
        <v>1593</v>
      </c>
      <c r="D2" s="54">
        <v>1</v>
      </c>
      <c r="E2" s="54" t="str">
        <f t="shared" ref="E2:E256" si="0">B2&amp;"::"&amp;C2&amp;"::"&amp;D2&amp;"::"&amp;F2</f>
        <v>7::Impact of technology – Collaborating online respectfully::1::- Create a memorable and secure password for an account on the school network</v>
      </c>
      <c r="F2" s="54" t="s">
        <v>1594</v>
      </c>
      <c r="G2" s="54" t="s">
        <v>1595</v>
      </c>
      <c r="H2" s="54" t="s">
        <v>1596</v>
      </c>
      <c r="I2" s="54" t="s">
        <v>59</v>
      </c>
    </row>
    <row r="3" spans="1:9" ht="15.75" customHeight="1">
      <c r="A3" s="54">
        <v>3</v>
      </c>
      <c r="B3" s="54">
        <v>7</v>
      </c>
      <c r="C3" s="54" t="s">
        <v>1593</v>
      </c>
      <c r="D3" s="54">
        <v>1</v>
      </c>
      <c r="E3" s="54" t="str">
        <f t="shared" si="0"/>
        <v>7::Impact of technology – Collaborating online respectfully::1::- Remember the rules of the computing lab</v>
      </c>
      <c r="F3" s="54" t="s">
        <v>1597</v>
      </c>
      <c r="G3" s="54" t="s">
        <v>1595</v>
      </c>
      <c r="H3" s="54" t="s">
        <v>34</v>
      </c>
      <c r="I3" s="54" t="s">
        <v>59</v>
      </c>
    </row>
    <row r="4" spans="1:9" ht="15.75" customHeight="1">
      <c r="A4" s="54">
        <v>3</v>
      </c>
      <c r="B4" s="54">
        <v>7</v>
      </c>
      <c r="C4" s="54" t="s">
        <v>1593</v>
      </c>
      <c r="D4" s="54">
        <v>2</v>
      </c>
      <c r="E4" s="54" t="str">
        <f t="shared" si="0"/>
        <v>7::Impact of technology – Collaborating online respectfully::2::- Find personal documents and common applications</v>
      </c>
      <c r="F4" s="54" t="s">
        <v>1598</v>
      </c>
      <c r="G4" s="54" t="s">
        <v>1595</v>
      </c>
      <c r="H4" s="54" t="s">
        <v>31</v>
      </c>
      <c r="I4" s="54" t="s">
        <v>59</v>
      </c>
    </row>
    <row r="5" spans="1:9" ht="15.75" customHeight="1">
      <c r="A5" s="54">
        <v>3</v>
      </c>
      <c r="B5" s="54">
        <v>7</v>
      </c>
      <c r="C5" s="54" t="s">
        <v>1593</v>
      </c>
      <c r="D5" s="54">
        <v>2</v>
      </c>
      <c r="E5" s="54" t="str">
        <f t="shared" si="0"/>
        <v>7::Impact of technology – Collaborating online respectfully::2::- Recognise a respectful email</v>
      </c>
      <c r="F5" s="54" t="s">
        <v>1599</v>
      </c>
      <c r="G5" s="54" t="s">
        <v>1595</v>
      </c>
      <c r="H5" s="54" t="s">
        <v>1596</v>
      </c>
      <c r="I5" s="54" t="s">
        <v>59</v>
      </c>
    </row>
    <row r="6" spans="1:9" ht="15.75" customHeight="1">
      <c r="A6" s="54">
        <v>3</v>
      </c>
      <c r="B6" s="54">
        <v>7</v>
      </c>
      <c r="C6" s="54" t="s">
        <v>1593</v>
      </c>
      <c r="D6" s="54">
        <v>2</v>
      </c>
      <c r="E6" s="54" t="str">
        <f t="shared" si="0"/>
        <v>7::Impact of technology – Collaborating online respectfully::2::- Construct an effective email and send it to the correct recipients</v>
      </c>
      <c r="F6" s="54" t="s">
        <v>1600</v>
      </c>
      <c r="G6" s="54" t="s">
        <v>1595</v>
      </c>
      <c r="H6" s="54" t="s">
        <v>31</v>
      </c>
      <c r="I6" s="54" t="s">
        <v>59</v>
      </c>
    </row>
    <row r="7" spans="1:9" ht="15.75" customHeight="1">
      <c r="A7" s="54">
        <v>3</v>
      </c>
      <c r="B7" s="54">
        <v>7</v>
      </c>
      <c r="C7" s="54" t="s">
        <v>1593</v>
      </c>
      <c r="D7" s="54">
        <v>3</v>
      </c>
      <c r="E7" s="54" t="str">
        <f t="shared" si="0"/>
        <v>7::Impact of technology – Collaborating online respectfully::3::- Describe how to communicate with peers online</v>
      </c>
      <c r="F7" s="54" t="s">
        <v>1601</v>
      </c>
      <c r="G7" s="54" t="s">
        <v>1595</v>
      </c>
      <c r="H7" s="54" t="s">
        <v>1596</v>
      </c>
      <c r="I7" s="54" t="s">
        <v>59</v>
      </c>
    </row>
    <row r="8" spans="1:9" ht="15.75" customHeight="1">
      <c r="A8" s="54">
        <v>3</v>
      </c>
      <c r="B8" s="54">
        <v>7</v>
      </c>
      <c r="C8" s="54" t="s">
        <v>1593</v>
      </c>
      <c r="D8" s="54">
        <v>4</v>
      </c>
      <c r="E8" s="54" t="str">
        <f t="shared" si="0"/>
        <v>7::Impact of technology – Collaborating online respectfully::4::- Plan effective presentations for a given audience</v>
      </c>
      <c r="F8" s="54" t="s">
        <v>1602</v>
      </c>
      <c r="G8" s="54" t="s">
        <v>1595</v>
      </c>
      <c r="H8" s="54" t="s">
        <v>1090</v>
      </c>
      <c r="I8" s="54" t="s">
        <v>59</v>
      </c>
    </row>
    <row r="9" spans="1:9" ht="15.75" customHeight="1">
      <c r="A9" s="54">
        <v>3</v>
      </c>
      <c r="B9" s="54">
        <v>7</v>
      </c>
      <c r="C9" s="54" t="s">
        <v>1593</v>
      </c>
      <c r="D9" s="54">
        <v>4</v>
      </c>
      <c r="E9" s="54" t="str">
        <f t="shared" si="0"/>
        <v>7::Impact of technology – Collaborating online respectfully::4::- Describe cyberbullying</v>
      </c>
      <c r="F9" s="54" t="s">
        <v>1603</v>
      </c>
      <c r="G9" s="54" t="s">
        <v>1595</v>
      </c>
      <c r="H9" s="54" t="s">
        <v>1604</v>
      </c>
      <c r="I9" s="54" t="s">
        <v>59</v>
      </c>
    </row>
    <row r="10" spans="1:9" ht="15.75" customHeight="1">
      <c r="A10" s="54">
        <v>3</v>
      </c>
      <c r="B10" s="54">
        <v>7</v>
      </c>
      <c r="C10" s="54" t="s">
        <v>1593</v>
      </c>
      <c r="D10" s="54">
        <v>4</v>
      </c>
      <c r="E10" s="54" t="str">
        <f t="shared" si="0"/>
        <v>7::Impact of technology – Collaborating online respectfully::4::- Explain the effects of cyberbullying</v>
      </c>
      <c r="F10" s="54" t="s">
        <v>1605</v>
      </c>
      <c r="G10" s="54" t="s">
        <v>1595</v>
      </c>
      <c r="H10" s="54" t="s">
        <v>1604</v>
      </c>
      <c r="I10" s="54" t="s">
        <v>59</v>
      </c>
    </row>
    <row r="11" spans="1:9" ht="15.75" customHeight="1">
      <c r="A11" s="54">
        <v>3</v>
      </c>
      <c r="B11" s="54">
        <v>7</v>
      </c>
      <c r="C11" s="54" t="s">
        <v>1593</v>
      </c>
      <c r="D11" s="54">
        <v>5</v>
      </c>
      <c r="E11" s="54" t="str">
        <f t="shared" si="0"/>
        <v>7::Impact of technology – Collaborating online respectfully::5::- Plan effective presentations for a given audience</v>
      </c>
      <c r="F11" s="54" t="s">
        <v>1602</v>
      </c>
      <c r="G11" s="54" t="s">
        <v>1595</v>
      </c>
      <c r="H11" s="54" t="s">
        <v>9</v>
      </c>
      <c r="I11" s="54" t="s">
        <v>59</v>
      </c>
    </row>
    <row r="12" spans="1:9" ht="15.75" customHeight="1">
      <c r="A12" s="54">
        <v>3</v>
      </c>
      <c r="B12" s="54">
        <v>7</v>
      </c>
      <c r="C12" s="54" t="s">
        <v>1593</v>
      </c>
      <c r="D12" s="54">
        <v>5</v>
      </c>
      <c r="E12" s="54" t="str">
        <f t="shared" si="0"/>
        <v>7::Impact of technology – Collaborating online respectfully::5::- Describe cyberbullying</v>
      </c>
      <c r="F12" s="54" t="s">
        <v>1603</v>
      </c>
      <c r="G12" s="54" t="s">
        <v>1595</v>
      </c>
      <c r="H12" s="54" t="s">
        <v>34</v>
      </c>
      <c r="I12" s="54" t="s">
        <v>59</v>
      </c>
    </row>
    <row r="13" spans="1:9" ht="15.75" customHeight="1">
      <c r="A13" s="54">
        <v>3</v>
      </c>
      <c r="B13" s="54">
        <v>7</v>
      </c>
      <c r="C13" s="54" t="s">
        <v>1593</v>
      </c>
      <c r="D13" s="54">
        <v>5</v>
      </c>
      <c r="E13" s="54" t="str">
        <f t="shared" si="0"/>
        <v>7::Impact of technology – Collaborating online respectfully::5::- Explain the effects of cyberbullying</v>
      </c>
      <c r="F13" s="54" t="s">
        <v>1605</v>
      </c>
      <c r="G13" s="54" t="s">
        <v>1595</v>
      </c>
      <c r="H13" s="54" t="s">
        <v>34</v>
      </c>
      <c r="I13" s="54" t="s">
        <v>59</v>
      </c>
    </row>
    <row r="14" spans="1:9" ht="15.75" customHeight="1">
      <c r="A14" s="54">
        <v>3</v>
      </c>
      <c r="B14" s="54">
        <v>7</v>
      </c>
      <c r="C14" s="54" t="s">
        <v>1593</v>
      </c>
      <c r="D14" s="54">
        <v>6</v>
      </c>
      <c r="E14" s="54" t="str">
        <f t="shared" si="0"/>
        <v>7::Impact of technology – Collaborating online respectfully::6::- Check who you are talking to online</v>
      </c>
      <c r="F14" s="54" t="s">
        <v>1606</v>
      </c>
      <c r="G14" s="54" t="s">
        <v>1595</v>
      </c>
      <c r="H14" s="54" t="s">
        <v>1596</v>
      </c>
      <c r="I14" s="54" t="s">
        <v>59</v>
      </c>
    </row>
    <row r="15" spans="1:9" ht="15.75" customHeight="1">
      <c r="A15" s="54">
        <v>3</v>
      </c>
      <c r="B15" s="54">
        <v>7</v>
      </c>
      <c r="C15" s="54" t="s">
        <v>1607</v>
      </c>
      <c r="D15" s="54">
        <v>1</v>
      </c>
      <c r="E15" s="54" t="str">
        <f t="shared" si="0"/>
        <v>7::Modelling data – Spreadsheets::1::- Identify columns, rows, cells, and cell references in spreadsheet software</v>
      </c>
      <c r="F15" s="54" t="s">
        <v>1608</v>
      </c>
      <c r="G15" s="54" t="s">
        <v>1609</v>
      </c>
      <c r="H15" s="54" t="s">
        <v>1204</v>
      </c>
      <c r="I15" s="54" t="s">
        <v>1083</v>
      </c>
    </row>
    <row r="16" spans="1:9" ht="15.75" customHeight="1">
      <c r="A16" s="54">
        <v>3</v>
      </c>
      <c r="B16" s="54">
        <v>7</v>
      </c>
      <c r="C16" s="54" t="s">
        <v>1607</v>
      </c>
      <c r="D16" s="54">
        <v>1</v>
      </c>
      <c r="E16" s="54" t="str">
        <f t="shared" si="0"/>
        <v>7::Modelling data – Spreadsheets::1::- Use formatting techniques in a spreadsheet</v>
      </c>
      <c r="F16" s="54" t="s">
        <v>1610</v>
      </c>
      <c r="G16" s="54" t="s">
        <v>1609</v>
      </c>
      <c r="H16" s="54" t="s">
        <v>31</v>
      </c>
      <c r="I16" s="54" t="s">
        <v>1083</v>
      </c>
    </row>
    <row r="17" spans="1:9" ht="15.75" customHeight="1">
      <c r="A17" s="54">
        <v>3</v>
      </c>
      <c r="B17" s="54">
        <v>7</v>
      </c>
      <c r="C17" s="54" t="s">
        <v>1607</v>
      </c>
      <c r="D17" s="54">
        <v>2</v>
      </c>
      <c r="E17" s="54" t="str">
        <f t="shared" si="0"/>
        <v>7::Modelling data – Spreadsheets::2::- Use basic formulas with cell references to perform calculations in a spreadsheet (+, -, *, /)</v>
      </c>
      <c r="F17" s="54" t="s">
        <v>1611</v>
      </c>
      <c r="G17" s="54" t="s">
        <v>1609</v>
      </c>
      <c r="H17" s="54" t="s">
        <v>1560</v>
      </c>
      <c r="I17" s="54" t="s">
        <v>1083</v>
      </c>
    </row>
    <row r="18" spans="1:9" ht="15.75" customHeight="1">
      <c r="A18" s="54">
        <v>3</v>
      </c>
      <c r="B18" s="54">
        <v>7</v>
      </c>
      <c r="C18" s="54" t="s">
        <v>1607</v>
      </c>
      <c r="D18" s="54">
        <v>2</v>
      </c>
      <c r="E18" s="54" t="str">
        <f t="shared" si="0"/>
        <v>7::Modelling data – Spreadsheets::2::- Use the autofill tool to replicate cell data</v>
      </c>
      <c r="F18" s="54" t="s">
        <v>1612</v>
      </c>
      <c r="G18" s="54" t="s">
        <v>1609</v>
      </c>
      <c r="H18" s="54" t="s">
        <v>1204</v>
      </c>
      <c r="I18" s="54" t="s">
        <v>1083</v>
      </c>
    </row>
    <row r="19" spans="1:9" ht="15.75" customHeight="1">
      <c r="A19" s="54">
        <v>3</v>
      </c>
      <c r="B19" s="54">
        <v>7</v>
      </c>
      <c r="C19" s="54" t="s">
        <v>1607</v>
      </c>
      <c r="D19" s="54">
        <v>3</v>
      </c>
      <c r="E19" s="54" t="str">
        <f t="shared" si="0"/>
        <v>7::Modelling data – Spreadsheets::3::- Explain the difference between data and information</v>
      </c>
      <c r="F19" s="54" t="s">
        <v>1613</v>
      </c>
      <c r="G19" s="54" t="s">
        <v>1609</v>
      </c>
      <c r="H19" s="54" t="s">
        <v>12</v>
      </c>
      <c r="I19" s="54" t="s">
        <v>1083</v>
      </c>
    </row>
    <row r="20" spans="1:9" ht="15.75" customHeight="1">
      <c r="A20" s="54">
        <v>3</v>
      </c>
      <c r="B20" s="54">
        <v>7</v>
      </c>
      <c r="C20" s="54" t="s">
        <v>1607</v>
      </c>
      <c r="D20" s="54">
        <v>3</v>
      </c>
      <c r="E20" s="54" t="str">
        <f t="shared" si="0"/>
        <v>7::Modelling data – Spreadsheets::3::- Explain the difference between primary and secondary sources of data</v>
      </c>
      <c r="F20" s="54" t="s">
        <v>1614</v>
      </c>
      <c r="G20" s="54" t="s">
        <v>1609</v>
      </c>
      <c r="H20" s="54" t="s">
        <v>12</v>
      </c>
      <c r="I20" s="54" t="s">
        <v>1083</v>
      </c>
    </row>
    <row r="21" spans="1:9" ht="15.75" customHeight="1">
      <c r="A21" s="54">
        <v>3</v>
      </c>
      <c r="B21" s="54">
        <v>7</v>
      </c>
      <c r="C21" s="54" t="s">
        <v>1607</v>
      </c>
      <c r="D21" s="54">
        <v>3</v>
      </c>
      <c r="E21" s="54" t="str">
        <f t="shared" si="0"/>
        <v>7::Modelling data – Spreadsheets::3::- Collect data</v>
      </c>
      <c r="F21" s="54" t="s">
        <v>1615</v>
      </c>
      <c r="G21" s="54" t="s">
        <v>1609</v>
      </c>
      <c r="H21" s="54" t="s">
        <v>1204</v>
      </c>
      <c r="I21" s="54" t="s">
        <v>1083</v>
      </c>
    </row>
    <row r="22" spans="1:9" ht="15.75" customHeight="1">
      <c r="A22" s="54">
        <v>3</v>
      </c>
      <c r="B22" s="54">
        <v>7</v>
      </c>
      <c r="C22" s="54" t="s">
        <v>1607</v>
      </c>
      <c r="D22" s="54">
        <v>4</v>
      </c>
      <c r="E22" s="54" t="str">
        <f t="shared" si="0"/>
        <v>7::Modelling data – Spreadsheets::4::- Analyse data</v>
      </c>
      <c r="F22" s="54" t="s">
        <v>1616</v>
      </c>
      <c r="G22" s="54" t="s">
        <v>1609</v>
      </c>
      <c r="H22" s="54" t="s">
        <v>1204</v>
      </c>
      <c r="I22" s="54" t="s">
        <v>1083</v>
      </c>
    </row>
    <row r="23" spans="1:9" ht="15.75" customHeight="1">
      <c r="A23" s="54">
        <v>3</v>
      </c>
      <c r="B23" s="54">
        <v>7</v>
      </c>
      <c r="C23" s="54" t="s">
        <v>1607</v>
      </c>
      <c r="D23" s="54">
        <v>4</v>
      </c>
      <c r="E23" s="54" t="str">
        <f t="shared" si="0"/>
        <v>7::Modelling data – Spreadsheets::4::- Create appropriate charts in a spreadsheet</v>
      </c>
      <c r="F23" s="54" t="s">
        <v>1617</v>
      </c>
      <c r="G23" s="54" t="s">
        <v>1609</v>
      </c>
      <c r="H23" s="54" t="s">
        <v>1204</v>
      </c>
      <c r="I23" s="54" t="s">
        <v>1083</v>
      </c>
    </row>
    <row r="24" spans="1:9" ht="15.75" customHeight="1">
      <c r="A24" s="54">
        <v>3</v>
      </c>
      <c r="B24" s="54">
        <v>7</v>
      </c>
      <c r="C24" s="54" t="s">
        <v>1607</v>
      </c>
      <c r="D24" s="54">
        <v>4</v>
      </c>
      <c r="E24" s="54" t="str">
        <f t="shared" si="0"/>
        <v>7::Modelling data – Spreadsheets::4::- Use the functions SUM, COUNTA, MAX, and MIN in a spreadsheet</v>
      </c>
      <c r="F24" s="54" t="s">
        <v>1618</v>
      </c>
      <c r="G24" s="54" t="s">
        <v>1609</v>
      </c>
      <c r="H24" s="54" t="s">
        <v>1560</v>
      </c>
      <c r="I24" s="54" t="s">
        <v>1083</v>
      </c>
    </row>
    <row r="25" spans="1:9" ht="15.75" customHeight="1">
      <c r="A25" s="54">
        <v>3</v>
      </c>
      <c r="B25" s="54">
        <v>7</v>
      </c>
      <c r="C25" s="54" t="s">
        <v>1607</v>
      </c>
      <c r="D25" s="54">
        <v>5</v>
      </c>
      <c r="E25" s="54" t="str">
        <f t="shared" si="0"/>
        <v>7::Modelling data – Spreadsheets::5::- Analyse data</v>
      </c>
      <c r="F25" s="54" t="s">
        <v>1616</v>
      </c>
      <c r="G25" s="54" t="s">
        <v>1609</v>
      </c>
      <c r="H25" s="54" t="s">
        <v>1204</v>
      </c>
      <c r="I25" s="54" t="s">
        <v>1083</v>
      </c>
    </row>
    <row r="26" spans="1:9" ht="15.75" customHeight="1">
      <c r="A26" s="54">
        <v>3</v>
      </c>
      <c r="B26" s="54">
        <v>7</v>
      </c>
      <c r="C26" s="54" t="s">
        <v>1607</v>
      </c>
      <c r="D26" s="54">
        <v>5</v>
      </c>
      <c r="E26" s="54" t="str">
        <f t="shared" si="0"/>
        <v>7::Modelling data – Spreadsheets::5::- Use a spreadsheet to sort and filter data</v>
      </c>
      <c r="F26" s="54" t="s">
        <v>1619</v>
      </c>
      <c r="G26" s="54" t="s">
        <v>1609</v>
      </c>
      <c r="H26" s="54" t="s">
        <v>1204</v>
      </c>
      <c r="I26" s="54" t="s">
        <v>1083</v>
      </c>
    </row>
    <row r="27" spans="1:9" ht="15.75" customHeight="1">
      <c r="A27" s="54">
        <v>3</v>
      </c>
      <c r="B27" s="54">
        <v>7</v>
      </c>
      <c r="C27" s="54" t="s">
        <v>1607</v>
      </c>
      <c r="D27" s="54">
        <v>5</v>
      </c>
      <c r="E27" s="54" t="str">
        <f t="shared" si="0"/>
        <v>7::Modelling data – Spreadsheets::5::- Use the functions AVERAGE, COUNTIF, and IF in a spreadsheet</v>
      </c>
      <c r="F27" s="54" t="s">
        <v>1620</v>
      </c>
      <c r="G27" s="54" t="s">
        <v>1609</v>
      </c>
      <c r="H27" s="54" t="s">
        <v>1560</v>
      </c>
      <c r="I27" s="54" t="s">
        <v>1083</v>
      </c>
    </row>
    <row r="28" spans="1:9" ht="15.75" customHeight="1">
      <c r="A28" s="54">
        <v>3</v>
      </c>
      <c r="B28" s="54">
        <v>7</v>
      </c>
      <c r="C28" s="54" t="s">
        <v>1607</v>
      </c>
      <c r="D28" s="54">
        <v>6</v>
      </c>
      <c r="E28" s="54" t="str">
        <f t="shared" si="0"/>
        <v>7::Modelling data – Spreadsheets::6::- Use conditional formatting in a spreadsheet</v>
      </c>
      <c r="F28" s="54" t="s">
        <v>1621</v>
      </c>
      <c r="G28" s="54" t="s">
        <v>1609</v>
      </c>
      <c r="H28" s="54" t="s">
        <v>1560</v>
      </c>
      <c r="I28" s="54" t="s">
        <v>1083</v>
      </c>
    </row>
    <row r="29" spans="1:9" ht="15.75" customHeight="1">
      <c r="A29" s="54">
        <v>3</v>
      </c>
      <c r="B29" s="54">
        <v>7</v>
      </c>
      <c r="C29" s="54" t="s">
        <v>1607</v>
      </c>
      <c r="D29" s="54">
        <v>6</v>
      </c>
      <c r="E29" s="54" t="str">
        <f t="shared" si="0"/>
        <v>7::Modelling data – Spreadsheets::6::- Apply all of the spreadsheet skills covered in this unit</v>
      </c>
      <c r="F29" s="54" t="s">
        <v>1622</v>
      </c>
      <c r="G29" s="54" t="s">
        <v>1609</v>
      </c>
      <c r="H29" s="54" t="s">
        <v>1560</v>
      </c>
      <c r="I29" s="54" t="s">
        <v>1083</v>
      </c>
    </row>
    <row r="30" spans="1:9" ht="15.75" customHeight="1">
      <c r="A30" s="54">
        <v>3</v>
      </c>
      <c r="B30" s="54">
        <v>7</v>
      </c>
      <c r="C30" s="54" t="s">
        <v>1623</v>
      </c>
      <c r="D30" s="54">
        <v>1</v>
      </c>
      <c r="E30" s="54" t="str">
        <f t="shared" si="0"/>
        <v>7::Networks from semaphores to the Internet::1::- Define what a computer network is and explain how data is transmitted between computers across networks</v>
      </c>
      <c r="F30" s="54" t="s">
        <v>1624</v>
      </c>
      <c r="G30" s="54">
        <v>3.5</v>
      </c>
      <c r="H30" s="54" t="s">
        <v>6</v>
      </c>
      <c r="I30" s="54" t="s">
        <v>51</v>
      </c>
    </row>
    <row r="31" spans="1:9" ht="15.75" customHeight="1">
      <c r="A31" s="54">
        <v>3</v>
      </c>
      <c r="B31" s="54">
        <v>7</v>
      </c>
      <c r="C31" s="54" t="s">
        <v>1623</v>
      </c>
      <c r="D31" s="54">
        <v>1</v>
      </c>
      <c r="E31" s="54" t="str">
        <f t="shared" si="0"/>
        <v>7::Networks from semaphores to the Internet::1::- Define ‘protocol’ and provide examples of non-networking protocols</v>
      </c>
      <c r="F31" s="54" t="s">
        <v>1625</v>
      </c>
      <c r="G31" s="54">
        <v>3.5</v>
      </c>
      <c r="H31" s="54" t="s">
        <v>6</v>
      </c>
      <c r="I31" s="54" t="s">
        <v>51</v>
      </c>
    </row>
    <row r="32" spans="1:9" ht="15.75" customHeight="1">
      <c r="A32" s="54">
        <v>3</v>
      </c>
      <c r="B32" s="54">
        <v>7</v>
      </c>
      <c r="C32" s="54" t="s">
        <v>1623</v>
      </c>
      <c r="D32" s="54">
        <v>2</v>
      </c>
      <c r="E32" s="54" t="str">
        <f t="shared" si="0"/>
        <v>7::Networks from semaphores to the Internet::2::- List examples of the hardware necessary for connecting devices to networks</v>
      </c>
      <c r="F32" s="54" t="s">
        <v>1626</v>
      </c>
      <c r="G32" s="54">
        <v>3.5</v>
      </c>
      <c r="H32" s="54" t="s">
        <v>1252</v>
      </c>
      <c r="I32" s="54" t="s">
        <v>51</v>
      </c>
    </row>
    <row r="33" spans="1:9" ht="15.75" customHeight="1">
      <c r="A33" s="54">
        <v>3</v>
      </c>
      <c r="B33" s="54">
        <v>7</v>
      </c>
      <c r="C33" s="54" t="s">
        <v>1623</v>
      </c>
      <c r="D33" s="54">
        <v>3</v>
      </c>
      <c r="E33" s="54" t="str">
        <f t="shared" si="0"/>
        <v>7::Networks from semaphores to the Internet::3::- Compare wired to wireless connections and list examples of specific technologies currently used to implement such connections</v>
      </c>
      <c r="F33" s="54" t="s">
        <v>1627</v>
      </c>
      <c r="G33" s="54">
        <v>3.5</v>
      </c>
      <c r="H33" s="54" t="s">
        <v>1252</v>
      </c>
      <c r="I33" s="54" t="s">
        <v>51</v>
      </c>
    </row>
    <row r="34" spans="1:9" ht="15.75" customHeight="1">
      <c r="A34" s="54">
        <v>3</v>
      </c>
      <c r="B34" s="54">
        <v>7</v>
      </c>
      <c r="C34" s="54" t="s">
        <v>1623</v>
      </c>
      <c r="D34" s="54">
        <v>3</v>
      </c>
      <c r="E34" s="54" t="str">
        <f t="shared" si="0"/>
        <v>7::Networks from semaphores to the Internet::3::- Define ‘bandwidth’, using the appropriate units for measuring the rate at which data is transmitted, and discuss familiar examples where bandwidth is important</v>
      </c>
      <c r="F34" s="54" t="s">
        <v>1628</v>
      </c>
      <c r="G34" s="54">
        <v>3.5</v>
      </c>
      <c r="H34" s="54" t="s">
        <v>6</v>
      </c>
      <c r="I34" s="54" t="s">
        <v>51</v>
      </c>
    </row>
    <row r="35" spans="1:9" ht="15.75" customHeight="1">
      <c r="A35" s="54">
        <v>3</v>
      </c>
      <c r="B35" s="54">
        <v>7</v>
      </c>
      <c r="C35" s="54" t="s">
        <v>1623</v>
      </c>
      <c r="D35" s="54">
        <v>4</v>
      </c>
      <c r="E35" s="54" t="str">
        <f t="shared" si="0"/>
        <v>7::Networks from semaphores to the Internet::4::- Define what the internet is</v>
      </c>
      <c r="F35" s="54" t="s">
        <v>1629</v>
      </c>
      <c r="G35" s="54">
        <v>3.5</v>
      </c>
      <c r="H35" s="54" t="s">
        <v>6</v>
      </c>
      <c r="I35" s="54" t="s">
        <v>51</v>
      </c>
    </row>
    <row r="36" spans="1:9" ht="15.75" customHeight="1">
      <c r="A36" s="54">
        <v>3</v>
      </c>
      <c r="B36" s="54">
        <v>7</v>
      </c>
      <c r="C36" s="54" t="s">
        <v>1623</v>
      </c>
      <c r="D36" s="54">
        <v>4</v>
      </c>
      <c r="E36" s="54" t="str">
        <f t="shared" si="0"/>
        <v>7::Networks from semaphores to the Internet::4::- Explain how data travels between computers across the internet</v>
      </c>
      <c r="F36" s="54" t="s">
        <v>1630</v>
      </c>
      <c r="G36" s="54">
        <v>3.5</v>
      </c>
      <c r="H36" s="54" t="s">
        <v>6</v>
      </c>
      <c r="I36" s="54" t="s">
        <v>51</v>
      </c>
    </row>
    <row r="37" spans="1:9" ht="15.75" customHeight="1">
      <c r="A37" s="54">
        <v>3</v>
      </c>
      <c r="B37" s="54">
        <v>7</v>
      </c>
      <c r="C37" s="54" t="s">
        <v>1623</v>
      </c>
      <c r="D37" s="54">
        <v>4</v>
      </c>
      <c r="E37" s="54" t="str">
        <f t="shared" si="0"/>
        <v>7::Networks from semaphores to the Internet::4::- Describe key words such as ‘protocols’, ‘packets’, and ‘addressing’</v>
      </c>
      <c r="F37" s="54" t="s">
        <v>1631</v>
      </c>
      <c r="G37" s="54">
        <v>3.5</v>
      </c>
      <c r="H37" s="54" t="s">
        <v>6</v>
      </c>
      <c r="I37" s="54" t="s">
        <v>51</v>
      </c>
    </row>
    <row r="38" spans="1:9" ht="15.75" customHeight="1">
      <c r="A38" s="54">
        <v>3</v>
      </c>
      <c r="B38" s="54">
        <v>7</v>
      </c>
      <c r="C38" s="54" t="s">
        <v>1623</v>
      </c>
      <c r="D38" s="54">
        <v>5</v>
      </c>
      <c r="E38" s="54" t="str">
        <f t="shared" si="0"/>
        <v>7::Networks from semaphores to the Internet::5::- Explain the difference between the internet, its services, and the World Wide Web</v>
      </c>
      <c r="F38" s="54" t="s">
        <v>1632</v>
      </c>
      <c r="G38" s="54">
        <v>3.5</v>
      </c>
      <c r="H38" s="54" t="s">
        <v>6</v>
      </c>
      <c r="I38" s="54" t="s">
        <v>51</v>
      </c>
    </row>
    <row r="39" spans="1:9" ht="15.75" customHeight="1">
      <c r="A39" s="54">
        <v>3</v>
      </c>
      <c r="B39" s="54">
        <v>7</v>
      </c>
      <c r="C39" s="54" t="s">
        <v>1623</v>
      </c>
      <c r="D39" s="54">
        <v>5</v>
      </c>
      <c r="E39" s="54" t="str">
        <f t="shared" si="0"/>
        <v>7::Networks from semaphores to the Internet::5::- Describe how services are provided over the internet</v>
      </c>
      <c r="F39" s="54" t="s">
        <v>1633</v>
      </c>
      <c r="G39" s="54">
        <v>3.5</v>
      </c>
      <c r="H39" s="54" t="s">
        <v>6</v>
      </c>
      <c r="I39" s="54" t="s">
        <v>51</v>
      </c>
    </row>
    <row r="40" spans="1:9" ht="15.75" customHeight="1">
      <c r="A40" s="54">
        <v>3</v>
      </c>
      <c r="B40" s="54">
        <v>7</v>
      </c>
      <c r="C40" s="54" t="s">
        <v>1623</v>
      </c>
      <c r="D40" s="54">
        <v>5</v>
      </c>
      <c r="E40" s="54" t="str">
        <f t="shared" si="0"/>
        <v>7::Networks from semaphores to the Internet::5::- List some of these services and the context in which they are used</v>
      </c>
      <c r="F40" s="54" t="s">
        <v>1634</v>
      </c>
      <c r="G40" s="54">
        <v>3.5</v>
      </c>
      <c r="H40" s="54" t="s">
        <v>6</v>
      </c>
      <c r="I40" s="54" t="s">
        <v>51</v>
      </c>
    </row>
    <row r="41" spans="1:9" ht="15.75" customHeight="1">
      <c r="A41" s="54">
        <v>3</v>
      </c>
      <c r="B41" s="54">
        <v>7</v>
      </c>
      <c r="C41" s="54" t="s">
        <v>1623</v>
      </c>
      <c r="D41" s="54">
        <v>5</v>
      </c>
      <c r="E41" s="54" t="str">
        <f t="shared" si="0"/>
        <v>7::Networks from semaphores to the Internet::5::- Explain the term ‘connectivity’ as the capacity for connected devices (‘Internet of Things’) to collect and share information about me with or without my knowledge (including microphones, cameras, and geolocation)</v>
      </c>
      <c r="F41" s="54" t="s">
        <v>1635</v>
      </c>
      <c r="G41" s="54">
        <v>3.5</v>
      </c>
      <c r="H41" s="54" t="s">
        <v>6</v>
      </c>
      <c r="I41" s="54" t="s">
        <v>51</v>
      </c>
    </row>
    <row r="42" spans="1:9" ht="15.75" customHeight="1">
      <c r="A42" s="54">
        <v>3</v>
      </c>
      <c r="B42" s="54">
        <v>7</v>
      </c>
      <c r="C42" s="54" t="s">
        <v>1623</v>
      </c>
      <c r="D42" s="54">
        <v>5</v>
      </c>
      <c r="E42" s="54" t="str">
        <f t="shared" si="0"/>
        <v>7::Networks from semaphores to the Internet::5::- Describe how internet-connected devices can affect me</v>
      </c>
      <c r="F42" s="54" t="s">
        <v>1636</v>
      </c>
      <c r="G42" s="54">
        <v>3.5</v>
      </c>
      <c r="H42" s="54" t="s">
        <v>1347</v>
      </c>
      <c r="I42" s="54" t="s">
        <v>51</v>
      </c>
    </row>
    <row r="43" spans="1:9" ht="15.75" customHeight="1">
      <c r="A43" s="54">
        <v>3</v>
      </c>
      <c r="B43" s="54">
        <v>7</v>
      </c>
      <c r="C43" s="54" t="s">
        <v>1623</v>
      </c>
      <c r="D43" s="54">
        <v>6</v>
      </c>
      <c r="E43" s="54" t="str">
        <f t="shared" si="0"/>
        <v>7::Networks from semaphores to the Internet::6::- Describe components (servers, browsers, pages, HTTP and HTTPS protocols, etc.) and how they work together</v>
      </c>
      <c r="F43" s="54" t="s">
        <v>1637</v>
      </c>
      <c r="G43" s="54">
        <v>3.5</v>
      </c>
      <c r="H43" s="54" t="s">
        <v>6</v>
      </c>
      <c r="I43" s="54" t="s">
        <v>51</v>
      </c>
    </row>
    <row r="44" spans="1:9" ht="15.75" customHeight="1">
      <c r="A44" s="54">
        <v>3</v>
      </c>
      <c r="B44" s="54">
        <v>7</v>
      </c>
      <c r="C44" s="54" t="s">
        <v>1638</v>
      </c>
      <c r="D44" s="54">
        <v>1</v>
      </c>
      <c r="E44" s="54" t="str">
        <f t="shared" si="0"/>
        <v>7::Programming essentials in Scratch – part I::1::- Compare how humans and computers understand instructions (understand and carry out)</v>
      </c>
      <c r="F44" s="54" t="s">
        <v>1639</v>
      </c>
      <c r="G44" s="54" t="s">
        <v>1640</v>
      </c>
      <c r="H44" s="54" t="s">
        <v>24</v>
      </c>
      <c r="I44" s="54" t="s">
        <v>1083</v>
      </c>
    </row>
    <row r="45" spans="1:9" ht="15.75" customHeight="1">
      <c r="A45" s="54">
        <v>3</v>
      </c>
      <c r="B45" s="54">
        <v>7</v>
      </c>
      <c r="C45" s="54" t="s">
        <v>1638</v>
      </c>
      <c r="D45" s="54">
        <v>1</v>
      </c>
      <c r="E45" s="54" t="str">
        <f t="shared" si="0"/>
        <v>7::Programming essentials in Scratch – part I::1::- Define a sequence as instructions performed in order, with each executed in turn</v>
      </c>
      <c r="F45" s="54" t="s">
        <v>1641</v>
      </c>
      <c r="G45" s="54" t="s">
        <v>1640</v>
      </c>
      <c r="H45" s="54" t="s">
        <v>24</v>
      </c>
      <c r="I45" s="54" t="s">
        <v>1083</v>
      </c>
    </row>
    <row r="46" spans="1:9" ht="15.75" customHeight="1">
      <c r="A46" s="54">
        <v>3</v>
      </c>
      <c r="B46" s="54">
        <v>7</v>
      </c>
      <c r="C46" s="54" t="s">
        <v>1638</v>
      </c>
      <c r="D46" s="54">
        <v>1</v>
      </c>
      <c r="E46" s="54" t="str">
        <f t="shared" si="0"/>
        <v>7::Programming essentials in Scratch – part I::1::- Predict the outcome of a simple sequence</v>
      </c>
      <c r="F46" s="54" t="s">
        <v>1642</v>
      </c>
      <c r="G46" s="54" t="s">
        <v>1640</v>
      </c>
      <c r="H46" s="54" t="s">
        <v>1221</v>
      </c>
      <c r="I46" s="54" t="s">
        <v>1083</v>
      </c>
    </row>
    <row r="47" spans="1:9" ht="15.75" customHeight="1">
      <c r="A47" s="54">
        <v>3</v>
      </c>
      <c r="B47" s="54">
        <v>7</v>
      </c>
      <c r="C47" s="54" t="s">
        <v>1638</v>
      </c>
      <c r="D47" s="54">
        <v>1</v>
      </c>
      <c r="E47" s="54" t="str">
        <f t="shared" si="0"/>
        <v>7::Programming essentials in Scratch – part I::1::- Modify a sequence</v>
      </c>
      <c r="F47" s="54" t="s">
        <v>1643</v>
      </c>
      <c r="G47" s="54" t="s">
        <v>1640</v>
      </c>
      <c r="H47" s="54" t="s">
        <v>1221</v>
      </c>
      <c r="I47" s="54" t="s">
        <v>1083</v>
      </c>
    </row>
    <row r="48" spans="1:9" ht="13">
      <c r="A48" s="54">
        <v>3</v>
      </c>
      <c r="B48" s="54">
        <v>7</v>
      </c>
      <c r="C48" s="54" t="s">
        <v>1638</v>
      </c>
      <c r="D48" s="54">
        <v>2</v>
      </c>
      <c r="E48" s="54" t="str">
        <f t="shared" si="0"/>
        <v>7::Programming essentials in Scratch – part I::2::- Define a variable as a name that refers to data being stored by the computer</v>
      </c>
      <c r="F48" s="54" t="s">
        <v>1644</v>
      </c>
      <c r="G48" s="54" t="s">
        <v>1640</v>
      </c>
      <c r="H48" s="54" t="s">
        <v>1221</v>
      </c>
      <c r="I48" s="54" t="s">
        <v>1083</v>
      </c>
    </row>
    <row r="49" spans="1:9" ht="13">
      <c r="A49" s="54">
        <v>3</v>
      </c>
      <c r="B49" s="54">
        <v>7</v>
      </c>
      <c r="C49" s="54" t="s">
        <v>1638</v>
      </c>
      <c r="D49" s="54">
        <v>2</v>
      </c>
      <c r="E49" s="54" t="str">
        <f t="shared" si="0"/>
        <v>7::Programming essentials in Scratch – part I::2::- Recognise that computers follow the control flow of input/process/output</v>
      </c>
      <c r="F49" s="54" t="s">
        <v>1645</v>
      </c>
      <c r="G49" s="54" t="s">
        <v>1640</v>
      </c>
      <c r="H49" s="54" t="s">
        <v>1221</v>
      </c>
      <c r="I49" s="54" t="s">
        <v>1083</v>
      </c>
    </row>
    <row r="50" spans="1:9" ht="13">
      <c r="A50" s="54">
        <v>3</v>
      </c>
      <c r="B50" s="54">
        <v>7</v>
      </c>
      <c r="C50" s="54" t="s">
        <v>1638</v>
      </c>
      <c r="D50" s="54">
        <v>2</v>
      </c>
      <c r="E50" s="54" t="str">
        <f t="shared" si="0"/>
        <v>7::Programming essentials in Scratch – part I::2::- Predict the outcome of a simple sequence that includes variables</v>
      </c>
      <c r="F50" s="54" t="s">
        <v>1646</v>
      </c>
      <c r="G50" s="54" t="s">
        <v>1640</v>
      </c>
      <c r="H50" s="54" t="s">
        <v>1221</v>
      </c>
      <c r="I50" s="54" t="s">
        <v>1083</v>
      </c>
    </row>
    <row r="51" spans="1:9" ht="13">
      <c r="A51" s="54">
        <v>3</v>
      </c>
      <c r="B51" s="54">
        <v>7</v>
      </c>
      <c r="C51" s="54" t="s">
        <v>1638</v>
      </c>
      <c r="D51" s="54">
        <v>2</v>
      </c>
      <c r="E51" s="54" t="str">
        <f t="shared" si="0"/>
        <v>7::Programming essentials in Scratch – part I::2::- Trace the values of variables within a sequence</v>
      </c>
      <c r="F51" s="54" t="s">
        <v>1647</v>
      </c>
      <c r="G51" s="54" t="s">
        <v>1640</v>
      </c>
      <c r="H51" s="54" t="s">
        <v>1221</v>
      </c>
      <c r="I51" s="54" t="s">
        <v>1083</v>
      </c>
    </row>
    <row r="52" spans="1:9" ht="13">
      <c r="A52" s="54">
        <v>3</v>
      </c>
      <c r="B52" s="54">
        <v>7</v>
      </c>
      <c r="C52" s="54" t="s">
        <v>1638</v>
      </c>
      <c r="D52" s="54">
        <v>2</v>
      </c>
      <c r="E52" s="54" t="str">
        <f t="shared" si="0"/>
        <v>7::Programming essentials in Scratch – part I::2::- Make a sequence that includes a variable</v>
      </c>
      <c r="F52" s="54" t="s">
        <v>1648</v>
      </c>
      <c r="G52" s="54" t="s">
        <v>1640</v>
      </c>
      <c r="H52" s="54" t="s">
        <v>1221</v>
      </c>
      <c r="I52" s="54" t="s">
        <v>1083</v>
      </c>
    </row>
    <row r="53" spans="1:9" ht="13">
      <c r="A53" s="54">
        <v>3</v>
      </c>
      <c r="B53" s="54">
        <v>7</v>
      </c>
      <c r="C53" s="54" t="s">
        <v>1638</v>
      </c>
      <c r="D53" s="54">
        <v>3</v>
      </c>
      <c r="E53" s="54" t="str">
        <f t="shared" si="0"/>
        <v>7::Programming essentials in Scratch – part I::3::- Define a condition as an expression that will be evaluated as either true or false</v>
      </c>
      <c r="F53" s="54" t="s">
        <v>1649</v>
      </c>
      <c r="G53" s="54" t="s">
        <v>1640</v>
      </c>
      <c r="H53" s="54" t="s">
        <v>1221</v>
      </c>
      <c r="I53" s="54" t="s">
        <v>1083</v>
      </c>
    </row>
    <row r="54" spans="1:9" ht="13">
      <c r="A54" s="54">
        <v>3</v>
      </c>
      <c r="B54" s="54">
        <v>7</v>
      </c>
      <c r="C54" s="54" t="s">
        <v>1638</v>
      </c>
      <c r="D54" s="54">
        <v>3</v>
      </c>
      <c r="E54" s="54" t="str">
        <f t="shared" si="0"/>
        <v>7::Programming essentials in Scratch – part I::3::- Identify that selection uses conditions to control the flow of a sequence</v>
      </c>
      <c r="F54" s="54" t="s">
        <v>1650</v>
      </c>
      <c r="G54" s="54" t="s">
        <v>1640</v>
      </c>
      <c r="H54" s="54" t="s">
        <v>1221</v>
      </c>
      <c r="I54" s="54" t="s">
        <v>1083</v>
      </c>
    </row>
    <row r="55" spans="1:9" ht="13">
      <c r="A55" s="54">
        <v>3</v>
      </c>
      <c r="B55" s="54">
        <v>7</v>
      </c>
      <c r="C55" s="54" t="s">
        <v>1638</v>
      </c>
      <c r="D55" s="54">
        <v>3</v>
      </c>
      <c r="E55" s="54" t="str">
        <f t="shared" si="0"/>
        <v>7::Programming essentials in Scratch – part I::3::- Identify where selection statements can be used in a program</v>
      </c>
      <c r="F55" s="54" t="s">
        <v>1651</v>
      </c>
      <c r="G55" s="54" t="s">
        <v>1640</v>
      </c>
      <c r="H55" s="54" t="s">
        <v>1221</v>
      </c>
      <c r="I55" s="54" t="s">
        <v>1083</v>
      </c>
    </row>
    <row r="56" spans="1:9" ht="13">
      <c r="A56" s="54">
        <v>3</v>
      </c>
      <c r="B56" s="54">
        <v>7</v>
      </c>
      <c r="C56" s="54" t="s">
        <v>1638</v>
      </c>
      <c r="D56" s="54">
        <v>3</v>
      </c>
      <c r="E56" s="54" t="str">
        <f t="shared" si="0"/>
        <v>7::Programming essentials in Scratch – part I::3::- Modify a program to include selection</v>
      </c>
      <c r="F56" s="54" t="s">
        <v>1652</v>
      </c>
      <c r="G56" s="54" t="s">
        <v>1640</v>
      </c>
      <c r="H56" s="54" t="s">
        <v>1221</v>
      </c>
      <c r="I56" s="54" t="s">
        <v>1083</v>
      </c>
    </row>
    <row r="57" spans="1:9" ht="13">
      <c r="A57" s="54">
        <v>3</v>
      </c>
      <c r="B57" s="54">
        <v>7</v>
      </c>
      <c r="C57" s="54" t="s">
        <v>1638</v>
      </c>
      <c r="D57" s="54">
        <v>4</v>
      </c>
      <c r="E57" s="54" t="str">
        <f t="shared" si="0"/>
        <v>7::Programming essentials in Scratch – part I::4::- Create conditions that use comparison operators (&gt;,&lt;,=)</v>
      </c>
      <c r="F57" s="54" t="s">
        <v>1653</v>
      </c>
      <c r="G57" s="54" t="s">
        <v>1640</v>
      </c>
      <c r="H57" s="54" t="s">
        <v>1221</v>
      </c>
      <c r="I57" s="54" t="s">
        <v>1083</v>
      </c>
    </row>
    <row r="58" spans="1:9" ht="13">
      <c r="A58" s="54">
        <v>3</v>
      </c>
      <c r="B58" s="54">
        <v>7</v>
      </c>
      <c r="C58" s="54" t="s">
        <v>1638</v>
      </c>
      <c r="D58" s="54">
        <v>4</v>
      </c>
      <c r="E58" s="54" t="str">
        <f t="shared" si="0"/>
        <v>7::Programming essentials in Scratch – part I::4::- Create conditions that use logic operators (and/or/not)</v>
      </c>
      <c r="F58" s="54" t="s">
        <v>1654</v>
      </c>
      <c r="G58" s="54" t="s">
        <v>1640</v>
      </c>
      <c r="H58" s="54" t="s">
        <v>1221</v>
      </c>
      <c r="I58" s="54" t="s">
        <v>1083</v>
      </c>
    </row>
    <row r="59" spans="1:9" ht="13">
      <c r="A59" s="54">
        <v>3</v>
      </c>
      <c r="B59" s="54">
        <v>7</v>
      </c>
      <c r="C59" s="54" t="s">
        <v>1638</v>
      </c>
      <c r="D59" s="54">
        <v>4</v>
      </c>
      <c r="E59" s="54" t="str">
        <f t="shared" si="0"/>
        <v>7::Programming essentials in Scratch – part I::4::- Identify where selection statements can be used in a program that include comparison and logical operators</v>
      </c>
      <c r="F59" s="54" t="s">
        <v>1655</v>
      </c>
      <c r="G59" s="54" t="s">
        <v>1640</v>
      </c>
      <c r="H59" s="54" t="s">
        <v>1221</v>
      </c>
      <c r="I59" s="54" t="s">
        <v>1083</v>
      </c>
    </row>
    <row r="60" spans="1:9" ht="13">
      <c r="A60" s="54">
        <v>3</v>
      </c>
      <c r="B60" s="54">
        <v>7</v>
      </c>
      <c r="C60" s="54" t="s">
        <v>1638</v>
      </c>
      <c r="D60" s="54">
        <v>5</v>
      </c>
      <c r="E60" s="54" t="str">
        <f t="shared" si="0"/>
        <v>7::Programming essentials in Scratch – part I::5::- Define iteration as a group of instructions that are repeatedly executed</v>
      </c>
      <c r="F60" s="54" t="s">
        <v>1656</v>
      </c>
      <c r="G60" s="54" t="s">
        <v>1640</v>
      </c>
      <c r="H60" s="54" t="s">
        <v>1221</v>
      </c>
      <c r="I60" s="54" t="s">
        <v>1083</v>
      </c>
    </row>
    <row r="61" spans="1:9" ht="13">
      <c r="A61" s="54">
        <v>3</v>
      </c>
      <c r="B61" s="54">
        <v>7</v>
      </c>
      <c r="C61" s="54" t="s">
        <v>1638</v>
      </c>
      <c r="D61" s="54">
        <v>5</v>
      </c>
      <c r="E61" s="54" t="str">
        <f t="shared" si="0"/>
        <v>7::Programming essentials in Scratch – part I::5::- Describe the need for iteration</v>
      </c>
      <c r="F61" s="54" t="s">
        <v>1657</v>
      </c>
      <c r="G61" s="54" t="s">
        <v>1640</v>
      </c>
      <c r="H61" s="54" t="s">
        <v>1221</v>
      </c>
      <c r="I61" s="54" t="s">
        <v>1083</v>
      </c>
    </row>
    <row r="62" spans="1:9" ht="13">
      <c r="A62" s="54">
        <v>3</v>
      </c>
      <c r="B62" s="54">
        <v>7</v>
      </c>
      <c r="C62" s="54" t="s">
        <v>1638</v>
      </c>
      <c r="D62" s="54">
        <v>5</v>
      </c>
      <c r="E62" s="54" t="str">
        <f t="shared" si="0"/>
        <v>7::Programming essentials in Scratch – part I::5::- Identify where count-controlled iteration can be used in a program</v>
      </c>
      <c r="F62" s="54" t="s">
        <v>1658</v>
      </c>
      <c r="G62" s="54" t="s">
        <v>1640</v>
      </c>
      <c r="H62" s="54" t="s">
        <v>1221</v>
      </c>
      <c r="I62" s="54" t="s">
        <v>1083</v>
      </c>
    </row>
    <row r="63" spans="1:9" ht="13">
      <c r="A63" s="54">
        <v>3</v>
      </c>
      <c r="B63" s="54">
        <v>7</v>
      </c>
      <c r="C63" s="54" t="s">
        <v>1638</v>
      </c>
      <c r="D63" s="54">
        <v>5</v>
      </c>
      <c r="E63" s="54" t="str">
        <f t="shared" si="0"/>
        <v>7::Programming essentials in Scratch – part I::5::- Implement count-controlled iteration in a program</v>
      </c>
      <c r="F63" s="54" t="s">
        <v>1659</v>
      </c>
      <c r="G63" s="54" t="s">
        <v>1640</v>
      </c>
      <c r="H63" s="54" t="s">
        <v>1221</v>
      </c>
      <c r="I63" s="54" t="s">
        <v>1083</v>
      </c>
    </row>
    <row r="64" spans="1:9" ht="13">
      <c r="A64" s="54">
        <v>3</v>
      </c>
      <c r="B64" s="54">
        <v>7</v>
      </c>
      <c r="C64" s="54" t="s">
        <v>1638</v>
      </c>
      <c r="D64" s="54">
        <v>5</v>
      </c>
      <c r="E64" s="54" t="str">
        <f t="shared" si="0"/>
        <v>7::Programming essentials in Scratch – part I::5::- Detect and correct errors in a program (debugging)</v>
      </c>
      <c r="F64" s="54" t="s">
        <v>1660</v>
      </c>
      <c r="G64" s="54" t="s">
        <v>1640</v>
      </c>
      <c r="H64" s="54" t="s">
        <v>1221</v>
      </c>
      <c r="I64" s="54" t="s">
        <v>1083</v>
      </c>
    </row>
    <row r="65" spans="1:9" ht="13">
      <c r="A65" s="54">
        <v>3</v>
      </c>
      <c r="B65" s="54">
        <v>7</v>
      </c>
      <c r="C65" s="54" t="s">
        <v>1638</v>
      </c>
      <c r="D65" s="54">
        <v>6</v>
      </c>
      <c r="E65" s="54" t="str">
        <f t="shared" si="0"/>
        <v>7::Programming essentials in Scratch – part I::6::- Independently design and apply programming constructs to solve a problem (subroutine, selection, count-controlled iteration, operators, and variables)</v>
      </c>
      <c r="F65" s="54" t="s">
        <v>1661</v>
      </c>
      <c r="G65" s="54" t="s">
        <v>1640</v>
      </c>
      <c r="H65" s="54" t="s">
        <v>1153</v>
      </c>
      <c r="I65" s="54" t="s">
        <v>1083</v>
      </c>
    </row>
    <row r="66" spans="1:9" ht="13">
      <c r="A66" s="54">
        <v>3</v>
      </c>
      <c r="B66" s="54">
        <v>7</v>
      </c>
      <c r="C66" s="54" t="s">
        <v>1662</v>
      </c>
      <c r="D66" s="54">
        <v>7</v>
      </c>
      <c r="E66" s="54" t="str">
        <f t="shared" si="0"/>
        <v>7::Programming essentials in Scratch – part II::7::- Define a subroutine as a group of instructions that will run when called by the main program or other subroutines</v>
      </c>
      <c r="F66" s="54" t="s">
        <v>1663</v>
      </c>
      <c r="G66" s="54" t="s">
        <v>1640</v>
      </c>
      <c r="H66" s="54" t="s">
        <v>1221</v>
      </c>
      <c r="I66" s="54" t="s">
        <v>1083</v>
      </c>
    </row>
    <row r="67" spans="1:9" ht="13">
      <c r="A67" s="54">
        <v>3</v>
      </c>
      <c r="B67" s="54">
        <v>7</v>
      </c>
      <c r="C67" s="54" t="s">
        <v>1662</v>
      </c>
      <c r="D67" s="54">
        <v>7</v>
      </c>
      <c r="E67" s="54" t="str">
        <f t="shared" si="0"/>
        <v>7::Programming essentials in Scratch – part II::7::- Define decomposition as breaking a problem down into smaller, more manageable subproblems</v>
      </c>
      <c r="F67" s="54" t="s">
        <v>1664</v>
      </c>
      <c r="G67" s="54" t="s">
        <v>1640</v>
      </c>
      <c r="H67" s="54" t="s">
        <v>1221</v>
      </c>
      <c r="I67" s="54" t="s">
        <v>1083</v>
      </c>
    </row>
    <row r="68" spans="1:9" ht="13">
      <c r="A68" s="54">
        <v>3</v>
      </c>
      <c r="B68" s="54">
        <v>7</v>
      </c>
      <c r="C68" s="54" t="s">
        <v>1662</v>
      </c>
      <c r="D68" s="54">
        <v>7</v>
      </c>
      <c r="E68" s="54" t="str">
        <f t="shared" si="0"/>
        <v>7::Programming essentials in Scratch – part II::7::- Identify how subroutines can be used for decomposition</v>
      </c>
      <c r="F68" s="54" t="s">
        <v>1665</v>
      </c>
      <c r="G68" s="54" t="s">
        <v>1640</v>
      </c>
      <c r="H68" s="54" t="s">
        <v>1221</v>
      </c>
      <c r="I68" s="54" t="s">
        <v>1083</v>
      </c>
    </row>
    <row r="69" spans="1:9" ht="13">
      <c r="A69" s="54">
        <v>3</v>
      </c>
      <c r="B69" s="54">
        <v>7</v>
      </c>
      <c r="C69" s="54" t="s">
        <v>1662</v>
      </c>
      <c r="D69" s="54">
        <v>8</v>
      </c>
      <c r="E69" s="54" t="str">
        <f t="shared" si="0"/>
        <v>7::Programming essentials in Scratch – part II::8::- Identify where condition-controlled iteration can be used in a program</v>
      </c>
      <c r="F69" s="54" t="s">
        <v>1666</v>
      </c>
      <c r="G69" s="54" t="s">
        <v>1640</v>
      </c>
      <c r="H69" s="54" t="s">
        <v>1221</v>
      </c>
      <c r="I69" s="54" t="s">
        <v>1083</v>
      </c>
    </row>
    <row r="70" spans="1:9" ht="13">
      <c r="A70" s="54">
        <v>3</v>
      </c>
      <c r="B70" s="54">
        <v>7</v>
      </c>
      <c r="C70" s="54" t="s">
        <v>1662</v>
      </c>
      <c r="D70" s="54">
        <v>8</v>
      </c>
      <c r="E70" s="54" t="str">
        <f t="shared" si="0"/>
        <v>7::Programming essentials in Scratch – part II::8::- Implement condition-controlled iteration in a program</v>
      </c>
      <c r="F70" s="54" t="s">
        <v>1667</v>
      </c>
      <c r="G70" s="54" t="s">
        <v>1640</v>
      </c>
      <c r="H70" s="54" t="s">
        <v>1221</v>
      </c>
      <c r="I70" s="54" t="s">
        <v>1083</v>
      </c>
    </row>
    <row r="71" spans="1:9" ht="13">
      <c r="A71" s="54">
        <v>3</v>
      </c>
      <c r="B71" s="54">
        <v>7</v>
      </c>
      <c r="C71" s="54" t="s">
        <v>1662</v>
      </c>
      <c r="D71" s="54">
        <v>9</v>
      </c>
      <c r="E71" s="54" t="str">
        <f t="shared" si="0"/>
        <v>7::Programming essentials in Scratch – part II::9::- Evaluate which type of iteration is required in a program</v>
      </c>
      <c r="F71" s="54" t="s">
        <v>1668</v>
      </c>
      <c r="G71" s="54" t="s">
        <v>1640</v>
      </c>
      <c r="H71" s="54" t="s">
        <v>1221</v>
      </c>
      <c r="I71" s="54" t="s">
        <v>1083</v>
      </c>
    </row>
    <row r="72" spans="1:9" ht="13">
      <c r="A72" s="54">
        <v>3</v>
      </c>
      <c r="B72" s="54">
        <v>7</v>
      </c>
      <c r="C72" s="54" t="s">
        <v>1662</v>
      </c>
      <c r="D72" s="54">
        <v>10</v>
      </c>
      <c r="E72" s="54" t="str">
        <f t="shared" si="0"/>
        <v>7::Programming essentials in Scratch – part II::10::- Define a list as a collection of related elements that are referred to by a single name</v>
      </c>
      <c r="F72" s="54" t="s">
        <v>1669</v>
      </c>
      <c r="G72" s="54" t="s">
        <v>1640</v>
      </c>
      <c r="H72" s="54" t="s">
        <v>1221</v>
      </c>
      <c r="I72" s="54" t="s">
        <v>1083</v>
      </c>
    </row>
    <row r="73" spans="1:9" ht="13">
      <c r="A73" s="54">
        <v>3</v>
      </c>
      <c r="B73" s="54">
        <v>7</v>
      </c>
      <c r="C73" s="54" t="s">
        <v>1662</v>
      </c>
      <c r="D73" s="54">
        <v>10</v>
      </c>
      <c r="E73" s="54" t="str">
        <f t="shared" si="0"/>
        <v>7::Programming essentials in Scratch – part II::10::- Describe the need for lists</v>
      </c>
      <c r="F73" s="54" t="s">
        <v>1670</v>
      </c>
      <c r="G73" s="54" t="s">
        <v>1640</v>
      </c>
      <c r="H73" s="54" t="s">
        <v>1221</v>
      </c>
      <c r="I73" s="54" t="s">
        <v>1083</v>
      </c>
    </row>
    <row r="74" spans="1:9" ht="13">
      <c r="A74" s="54">
        <v>3</v>
      </c>
      <c r="B74" s="54">
        <v>7</v>
      </c>
      <c r="C74" s="54" t="s">
        <v>1662</v>
      </c>
      <c r="D74" s="54">
        <v>10</v>
      </c>
      <c r="E74" s="54" t="str">
        <f t="shared" si="0"/>
        <v>7::Programming essentials in Scratch – part II::10::- Identify when lists can be used in a program</v>
      </c>
      <c r="F74" s="54" t="s">
        <v>1671</v>
      </c>
      <c r="G74" s="54" t="s">
        <v>1640</v>
      </c>
      <c r="H74" s="54" t="s">
        <v>1221</v>
      </c>
      <c r="I74" s="54" t="s">
        <v>1083</v>
      </c>
    </row>
    <row r="75" spans="1:9" ht="13">
      <c r="A75" s="54">
        <v>3</v>
      </c>
      <c r="B75" s="54">
        <v>7</v>
      </c>
      <c r="C75" s="54" t="s">
        <v>1662</v>
      </c>
      <c r="D75" s="54">
        <v>10</v>
      </c>
      <c r="E75" s="54" t="str">
        <f t="shared" si="0"/>
        <v>7::Programming essentials in Scratch – part II::10::- Use a list</v>
      </c>
      <c r="F75" s="54" t="s">
        <v>1672</v>
      </c>
      <c r="G75" s="54" t="s">
        <v>1640</v>
      </c>
      <c r="H75" s="54" t="s">
        <v>1221</v>
      </c>
      <c r="I75" s="54" t="s">
        <v>1083</v>
      </c>
    </row>
    <row r="76" spans="1:9" ht="13">
      <c r="A76" s="54">
        <v>3</v>
      </c>
      <c r="B76" s="54">
        <v>7</v>
      </c>
      <c r="C76" s="54" t="s">
        <v>1662</v>
      </c>
      <c r="D76" s="54">
        <v>11</v>
      </c>
      <c r="E76" s="54" t="str">
        <f t="shared" si="0"/>
        <v>7::Programming essentials in Scratch – part II::11::- Decompose a larger problem into smaller subproblems</v>
      </c>
      <c r="F76" s="54" t="s">
        <v>1673</v>
      </c>
      <c r="G76" s="54" t="s">
        <v>1640</v>
      </c>
      <c r="H76" s="54" t="s">
        <v>1221</v>
      </c>
      <c r="I76" s="54" t="s">
        <v>1083</v>
      </c>
    </row>
    <row r="77" spans="1:9" ht="13">
      <c r="A77" s="54">
        <v>3</v>
      </c>
      <c r="B77" s="54">
        <v>7</v>
      </c>
      <c r="C77" s="54" t="s">
        <v>1662</v>
      </c>
      <c r="D77" s="54">
        <v>11</v>
      </c>
      <c r="E77" s="54" t="str">
        <f t="shared" si="0"/>
        <v>7::Programming essentials in Scratch – part II::11::- Apply appropriate constructs to solve a problem</v>
      </c>
      <c r="F77" s="54" t="s">
        <v>1674</v>
      </c>
      <c r="G77" s="54" t="s">
        <v>1640</v>
      </c>
      <c r="H77" s="54" t="s">
        <v>1221</v>
      </c>
      <c r="I77" s="54" t="s">
        <v>1083</v>
      </c>
    </row>
    <row r="78" spans="1:9" ht="13">
      <c r="A78" s="54">
        <v>3</v>
      </c>
      <c r="B78" s="54">
        <v>7</v>
      </c>
      <c r="C78" s="54" t="s">
        <v>1662</v>
      </c>
      <c r="D78" s="54">
        <v>12</v>
      </c>
      <c r="E78" s="54" t="str">
        <f t="shared" si="0"/>
        <v>7::Programming essentials in Scratch – part II::12::- Decompose a larger problem into smaller subproblems</v>
      </c>
      <c r="F78" s="54" t="s">
        <v>1673</v>
      </c>
      <c r="G78" s="54" t="s">
        <v>1640</v>
      </c>
      <c r="H78" s="54" t="s">
        <v>1221</v>
      </c>
      <c r="I78" s="54" t="s">
        <v>1083</v>
      </c>
    </row>
    <row r="79" spans="1:9" ht="13">
      <c r="A79" s="54">
        <v>3</v>
      </c>
      <c r="B79" s="54">
        <v>7</v>
      </c>
      <c r="C79" s="54" t="s">
        <v>1662</v>
      </c>
      <c r="D79" s="54">
        <v>12</v>
      </c>
      <c r="E79" s="54" t="str">
        <f t="shared" si="0"/>
        <v>7::Programming essentials in Scratch – part II::12::- Apply appropriate constructs to solve a problem</v>
      </c>
      <c r="F79" s="54" t="s">
        <v>1674</v>
      </c>
      <c r="G79" s="54" t="s">
        <v>1640</v>
      </c>
      <c r="H79" s="54" t="s">
        <v>1153</v>
      </c>
      <c r="I79" s="54" t="s">
        <v>1083</v>
      </c>
    </row>
    <row r="80" spans="1:9" ht="13">
      <c r="A80" s="54">
        <v>3</v>
      </c>
      <c r="B80" s="54">
        <v>7</v>
      </c>
      <c r="C80" s="54" t="s">
        <v>1675</v>
      </c>
      <c r="D80" s="54">
        <v>1</v>
      </c>
      <c r="E80" s="54" t="str">
        <f t="shared" si="0"/>
        <v>7::Using media – Gaining support for a cause::1::- Select the most appropriate software to use to complete a task</v>
      </c>
      <c r="F80" s="54" t="s">
        <v>1676</v>
      </c>
      <c r="G80" s="54" t="s">
        <v>1677</v>
      </c>
      <c r="H80" s="54" t="s">
        <v>31</v>
      </c>
      <c r="I80" s="54" t="s">
        <v>54</v>
      </c>
    </row>
    <row r="81" spans="1:9" ht="13">
      <c r="A81" s="54">
        <v>3</v>
      </c>
      <c r="B81" s="54">
        <v>7</v>
      </c>
      <c r="C81" s="54" t="s">
        <v>1675</v>
      </c>
      <c r="D81" s="54">
        <v>1</v>
      </c>
      <c r="E81" s="54" t="str">
        <f t="shared" si="0"/>
        <v>7::Using media – Gaining support for a cause::1::- Identify the key features of a word processor</v>
      </c>
      <c r="F81" s="54" t="s">
        <v>1678</v>
      </c>
      <c r="G81" s="54" t="s">
        <v>1677</v>
      </c>
      <c r="H81" s="54" t="s">
        <v>31</v>
      </c>
      <c r="I81" s="54" t="s">
        <v>54</v>
      </c>
    </row>
    <row r="82" spans="1:9" ht="13">
      <c r="A82" s="54">
        <v>3</v>
      </c>
      <c r="B82" s="54">
        <v>7</v>
      </c>
      <c r="C82" s="54" t="s">
        <v>1675</v>
      </c>
      <c r="D82" s="54">
        <v>1</v>
      </c>
      <c r="E82" s="54" t="str">
        <f t="shared" si="0"/>
        <v>7::Using media – Gaining support for a cause::1::- Apply the key features of a word processor to format a document</v>
      </c>
      <c r="F82" s="54" t="s">
        <v>1679</v>
      </c>
      <c r="G82" s="54" t="s">
        <v>1677</v>
      </c>
      <c r="H82" s="54" t="s">
        <v>1082</v>
      </c>
      <c r="I82" s="54" t="s">
        <v>54</v>
      </c>
    </row>
    <row r="83" spans="1:9" ht="13">
      <c r="A83" s="54">
        <v>3</v>
      </c>
      <c r="B83" s="54">
        <v>7</v>
      </c>
      <c r="C83" s="54" t="s">
        <v>1675</v>
      </c>
      <c r="D83" s="54">
        <v>1</v>
      </c>
      <c r="E83" s="54" t="str">
        <f t="shared" si="0"/>
        <v>7::Using media – Gaining support for a cause::1::- Evaluate formatting techniques to understand why we format documents</v>
      </c>
      <c r="F83" s="54" t="s">
        <v>1680</v>
      </c>
      <c r="G83" s="54" t="s">
        <v>1677</v>
      </c>
      <c r="H83" s="54" t="s">
        <v>1681</v>
      </c>
      <c r="I83" s="54" t="s">
        <v>54</v>
      </c>
    </row>
    <row r="84" spans="1:9" ht="13">
      <c r="A84" s="54">
        <v>3</v>
      </c>
      <c r="B84" s="54">
        <v>7</v>
      </c>
      <c r="C84" s="54" t="s">
        <v>1675</v>
      </c>
      <c r="D84" s="54">
        <v>2</v>
      </c>
      <c r="E84" s="54" t="str">
        <f t="shared" si="0"/>
        <v>7::Using media – Gaining support for a cause::2::- Select appropriate images for a given context</v>
      </c>
      <c r="F84" s="54" t="s">
        <v>1682</v>
      </c>
      <c r="G84" s="54" t="s">
        <v>1677</v>
      </c>
      <c r="H84" s="54" t="s">
        <v>1082</v>
      </c>
      <c r="I84" s="54" t="s">
        <v>54</v>
      </c>
    </row>
    <row r="85" spans="1:9" ht="13">
      <c r="A85" s="54">
        <v>3</v>
      </c>
      <c r="B85" s="54">
        <v>7</v>
      </c>
      <c r="C85" s="54" t="s">
        <v>1675</v>
      </c>
      <c r="D85" s="54">
        <v>2</v>
      </c>
      <c r="E85" s="54" t="str">
        <f t="shared" si="0"/>
        <v>7::Using media – Gaining support for a cause::2::- Apply appropriate formatting techniques</v>
      </c>
      <c r="F85" s="54" t="s">
        <v>1683</v>
      </c>
      <c r="G85" s="54" t="s">
        <v>1677</v>
      </c>
      <c r="H85" s="54" t="s">
        <v>1082</v>
      </c>
      <c r="I85" s="54" t="s">
        <v>54</v>
      </c>
    </row>
    <row r="86" spans="1:9" ht="13">
      <c r="A86" s="54">
        <v>3</v>
      </c>
      <c r="B86" s="54">
        <v>7</v>
      </c>
      <c r="C86" s="54" t="s">
        <v>1675</v>
      </c>
      <c r="D86" s="54">
        <v>2</v>
      </c>
      <c r="E86" s="54" t="str">
        <f t="shared" si="0"/>
        <v>7::Using media – Gaining support for a cause::2::- Demonstrate an understanding of licensing issues involving online content by applying appropriate Creative Commons licences</v>
      </c>
      <c r="F86" s="54" t="s">
        <v>1684</v>
      </c>
      <c r="G86" s="54" t="s">
        <v>1677</v>
      </c>
      <c r="H86" s="54" t="s">
        <v>21</v>
      </c>
      <c r="I86" s="54" t="s">
        <v>54</v>
      </c>
    </row>
    <row r="87" spans="1:9" ht="13">
      <c r="A87" s="54">
        <v>3</v>
      </c>
      <c r="B87" s="54">
        <v>7</v>
      </c>
      <c r="C87" s="54" t="s">
        <v>1675</v>
      </c>
      <c r="D87" s="54">
        <v>2</v>
      </c>
      <c r="E87" s="54" t="str">
        <f t="shared" si="0"/>
        <v>7::Using media – Gaining support for a cause::2::- Demonstrate the ability to credit the original source of an image</v>
      </c>
      <c r="F87" s="54" t="s">
        <v>1685</v>
      </c>
      <c r="G87" s="54" t="s">
        <v>1677</v>
      </c>
      <c r="H87" s="54" t="s">
        <v>21</v>
      </c>
      <c r="I87" s="54" t="s">
        <v>54</v>
      </c>
    </row>
    <row r="88" spans="1:9" ht="13">
      <c r="A88" s="54">
        <v>3</v>
      </c>
      <c r="B88" s="54">
        <v>7</v>
      </c>
      <c r="C88" s="54" t="s">
        <v>1675</v>
      </c>
      <c r="D88" s="54">
        <v>3</v>
      </c>
      <c r="E88" s="54" t="str">
        <f t="shared" si="0"/>
        <v>7::Using media – Gaining support for a cause::3::- Critique digital content for credibility</v>
      </c>
      <c r="F88" s="54" t="s">
        <v>1686</v>
      </c>
      <c r="G88" s="54" t="s">
        <v>1677</v>
      </c>
      <c r="H88" s="54" t="s">
        <v>21</v>
      </c>
      <c r="I88" s="54" t="s">
        <v>54</v>
      </c>
    </row>
    <row r="89" spans="1:9" ht="13">
      <c r="A89" s="54">
        <v>3</v>
      </c>
      <c r="B89" s="54">
        <v>7</v>
      </c>
      <c r="C89" s="54" t="s">
        <v>1675</v>
      </c>
      <c r="D89" s="54">
        <v>3</v>
      </c>
      <c r="E89" s="54" t="str">
        <f t="shared" si="0"/>
        <v>7::Using media – Gaining support for a cause::3::- Apply techniques in order to identify whether or not a source is credible</v>
      </c>
      <c r="F89" s="54" t="s">
        <v>1687</v>
      </c>
      <c r="G89" s="54" t="s">
        <v>1677</v>
      </c>
      <c r="H89" s="54" t="s">
        <v>21</v>
      </c>
      <c r="I89" s="54" t="s">
        <v>54</v>
      </c>
    </row>
    <row r="90" spans="1:9" ht="13">
      <c r="A90" s="54">
        <v>3</v>
      </c>
      <c r="B90" s="54">
        <v>7</v>
      </c>
      <c r="C90" s="54" t="s">
        <v>1675</v>
      </c>
      <c r="D90" s="54">
        <v>4</v>
      </c>
      <c r="E90" s="54" t="str">
        <f t="shared" si="0"/>
        <v>7::Using media – Gaining support for a cause::4::- Apply referencing techniques and understand the concept of plagiarism</v>
      </c>
      <c r="F90" s="54" t="s">
        <v>1688</v>
      </c>
      <c r="G90" s="54" t="s">
        <v>1677</v>
      </c>
      <c r="H90" s="54" t="s">
        <v>21</v>
      </c>
      <c r="I90" s="54" t="s">
        <v>54</v>
      </c>
    </row>
    <row r="91" spans="1:9" ht="13">
      <c r="A91" s="54">
        <v>3</v>
      </c>
      <c r="B91" s="54">
        <v>7</v>
      </c>
      <c r="C91" s="54" t="s">
        <v>1675</v>
      </c>
      <c r="D91" s="54">
        <v>4</v>
      </c>
      <c r="E91" s="54" t="str">
        <f t="shared" si="0"/>
        <v>7::Using media – Gaining support for a cause::4::- Evaluate online sources for use in own work</v>
      </c>
      <c r="F91" s="54" t="s">
        <v>1689</v>
      </c>
      <c r="G91" s="54" t="s">
        <v>1677</v>
      </c>
      <c r="H91" s="54" t="s">
        <v>1690</v>
      </c>
      <c r="I91" s="54" t="s">
        <v>54</v>
      </c>
    </row>
    <row r="92" spans="1:9" ht="13">
      <c r="A92" s="54">
        <v>3</v>
      </c>
      <c r="B92" s="54">
        <v>7</v>
      </c>
      <c r="C92" s="54" t="s">
        <v>1675</v>
      </c>
      <c r="D92" s="54">
        <v>5</v>
      </c>
      <c r="E92" s="54" t="str">
        <f t="shared" si="0"/>
        <v>7::Using media – Gaining support for a cause::5::- Construct a blog using appropriate software</v>
      </c>
      <c r="F92" s="54" t="s">
        <v>1691</v>
      </c>
      <c r="G92" s="54" t="s">
        <v>1677</v>
      </c>
      <c r="H92" s="54" t="s">
        <v>1082</v>
      </c>
      <c r="I92" s="54" t="s">
        <v>54</v>
      </c>
    </row>
    <row r="93" spans="1:9" ht="13">
      <c r="A93" s="54">
        <v>3</v>
      </c>
      <c r="B93" s="54">
        <v>7</v>
      </c>
      <c r="C93" s="54" t="s">
        <v>1675</v>
      </c>
      <c r="D93" s="54">
        <v>5</v>
      </c>
      <c r="E93" s="54" t="str">
        <f t="shared" si="0"/>
        <v>7::Using media – Gaining support for a cause::5::- Organise the content of the blog based on credible sources</v>
      </c>
      <c r="F93" s="54" t="s">
        <v>1692</v>
      </c>
      <c r="G93" s="54" t="s">
        <v>1677</v>
      </c>
      <c r="H93" s="54" t="s">
        <v>1370</v>
      </c>
      <c r="I93" s="54" t="s">
        <v>54</v>
      </c>
    </row>
    <row r="94" spans="1:9" ht="13">
      <c r="A94" s="54">
        <v>3</v>
      </c>
      <c r="B94" s="54">
        <v>7</v>
      </c>
      <c r="C94" s="54" t="s">
        <v>1675</v>
      </c>
      <c r="D94" s="54">
        <v>5</v>
      </c>
      <c r="E94" s="54" t="str">
        <f t="shared" si="0"/>
        <v>7::Using media – Gaining support for a cause::5::- Apply referencing techniques that credit authors appropriately</v>
      </c>
      <c r="F94" s="54" t="s">
        <v>1693</v>
      </c>
      <c r="G94" s="54" t="s">
        <v>1677</v>
      </c>
      <c r="H94" s="54" t="s">
        <v>21</v>
      </c>
      <c r="I94" s="54" t="s">
        <v>54</v>
      </c>
    </row>
    <row r="95" spans="1:9" ht="13">
      <c r="A95" s="54">
        <v>3</v>
      </c>
      <c r="B95" s="54">
        <v>7</v>
      </c>
      <c r="C95" s="54" t="s">
        <v>1675</v>
      </c>
      <c r="D95" s="54">
        <v>5</v>
      </c>
      <c r="E95" s="54" t="str">
        <f t="shared" si="0"/>
        <v>7::Using media – Gaining support for a cause::5::- Design the layout of the content to make it suitable for the audience</v>
      </c>
      <c r="F95" s="54" t="s">
        <v>1694</v>
      </c>
      <c r="G95" s="54" t="s">
        <v>1677</v>
      </c>
      <c r="H95" s="54" t="s">
        <v>1681</v>
      </c>
      <c r="I95" s="54" t="s">
        <v>54</v>
      </c>
    </row>
    <row r="96" spans="1:9" ht="13">
      <c r="A96" s="54">
        <v>3</v>
      </c>
      <c r="B96" s="54">
        <v>7</v>
      </c>
      <c r="C96" s="54" t="s">
        <v>1675</v>
      </c>
      <c r="D96" s="54">
        <v>6</v>
      </c>
      <c r="E96" s="54" t="str">
        <f t="shared" si="0"/>
        <v>7::Using media – Gaining support for a cause::6::- Construct a blog using appropriate software</v>
      </c>
      <c r="F96" s="54" t="s">
        <v>1691</v>
      </c>
      <c r="G96" s="54" t="s">
        <v>1677</v>
      </c>
      <c r="H96" s="54" t="s">
        <v>1370</v>
      </c>
      <c r="I96" s="54" t="s">
        <v>54</v>
      </c>
    </row>
    <row r="97" spans="1:9" ht="13">
      <c r="A97" s="54">
        <v>3</v>
      </c>
      <c r="B97" s="54">
        <v>7</v>
      </c>
      <c r="C97" s="54" t="s">
        <v>1675</v>
      </c>
      <c r="D97" s="54">
        <v>6</v>
      </c>
      <c r="E97" s="54" t="str">
        <f t="shared" si="0"/>
        <v>7::Using media – Gaining support for a cause::6::- Organise the content of blog based on credible sources</v>
      </c>
      <c r="F97" s="54" t="s">
        <v>1695</v>
      </c>
      <c r="G97" s="54" t="s">
        <v>1677</v>
      </c>
      <c r="H97" s="54" t="s">
        <v>1370</v>
      </c>
      <c r="I97" s="54" t="s">
        <v>54</v>
      </c>
    </row>
    <row r="98" spans="1:9" ht="13">
      <c r="A98" s="54">
        <v>3</v>
      </c>
      <c r="B98" s="54">
        <v>7</v>
      </c>
      <c r="C98" s="54" t="s">
        <v>1675</v>
      </c>
      <c r="D98" s="54">
        <v>6</v>
      </c>
      <c r="E98" s="54" t="str">
        <f t="shared" si="0"/>
        <v>7::Using media – Gaining support for a cause::6::- Apply referencing techniques that credit authors appropriately</v>
      </c>
      <c r="F98" s="54" t="s">
        <v>1693</v>
      </c>
      <c r="G98" s="54" t="s">
        <v>1677</v>
      </c>
      <c r="H98" s="54" t="s">
        <v>1193</v>
      </c>
      <c r="I98" s="54" t="s">
        <v>54</v>
      </c>
    </row>
    <row r="99" spans="1:9" ht="13">
      <c r="A99" s="54">
        <v>3</v>
      </c>
      <c r="B99" s="54">
        <v>7</v>
      </c>
      <c r="C99" s="54" t="s">
        <v>1675</v>
      </c>
      <c r="D99" s="54">
        <v>6</v>
      </c>
      <c r="E99" s="54" t="str">
        <f t="shared" si="0"/>
        <v>7::Using media – Gaining support for a cause::6::- Design the layout of the content to make it suitable for the audience</v>
      </c>
      <c r="F99" s="54" t="s">
        <v>1694</v>
      </c>
      <c r="G99" s="54" t="s">
        <v>1677</v>
      </c>
      <c r="H99" s="54" t="s">
        <v>1690</v>
      </c>
      <c r="I99" s="54" t="s">
        <v>54</v>
      </c>
    </row>
    <row r="100" spans="1:9" ht="13">
      <c r="A100" s="54">
        <v>3</v>
      </c>
      <c r="B100" s="54">
        <v>8</v>
      </c>
      <c r="C100" s="54" t="s">
        <v>37</v>
      </c>
      <c r="D100" s="54">
        <v>1</v>
      </c>
      <c r="E100" s="54" t="str">
        <f t="shared" si="0"/>
        <v>8::Computing systems::1::- Recall that a general-purpose computing system is a device for executing programs</v>
      </c>
      <c r="F100" s="54" t="s">
        <v>1696</v>
      </c>
      <c r="G100" s="54" t="s">
        <v>1697</v>
      </c>
      <c r="H100" s="54" t="s">
        <v>18</v>
      </c>
      <c r="I100" s="54" t="s">
        <v>1083</v>
      </c>
    </row>
    <row r="101" spans="1:9" ht="13">
      <c r="A101" s="54">
        <v>3</v>
      </c>
      <c r="B101" s="54">
        <v>8</v>
      </c>
      <c r="C101" s="54" t="s">
        <v>37</v>
      </c>
      <c r="D101" s="54">
        <v>1</v>
      </c>
      <c r="E101" s="54" t="str">
        <f t="shared" si="0"/>
        <v>8::Computing systems::1::- Recall that a program is a sequence of instructions that specify operations that are to be performed on data</v>
      </c>
      <c r="F101" s="54" t="s">
        <v>1698</v>
      </c>
      <c r="G101" s="54" t="s">
        <v>1697</v>
      </c>
      <c r="H101" s="54" t="s">
        <v>27</v>
      </c>
      <c r="I101" s="54" t="s">
        <v>1083</v>
      </c>
    </row>
    <row r="102" spans="1:9" ht="13">
      <c r="A102" s="54">
        <v>3</v>
      </c>
      <c r="B102" s="54">
        <v>8</v>
      </c>
      <c r="C102" s="54" t="s">
        <v>37</v>
      </c>
      <c r="D102" s="54">
        <v>1</v>
      </c>
      <c r="E102" s="54" t="str">
        <f t="shared" si="0"/>
        <v>8::Computing systems::1::- Explain the difference between a general-purpose computing system and a purpose-built device</v>
      </c>
      <c r="F102" s="54" t="s">
        <v>1699</v>
      </c>
      <c r="G102" s="54" t="s">
        <v>1697</v>
      </c>
      <c r="H102" s="54" t="s">
        <v>18</v>
      </c>
      <c r="I102" s="54" t="s">
        <v>1083</v>
      </c>
    </row>
    <row r="103" spans="1:9" ht="13">
      <c r="A103" s="54">
        <v>3</v>
      </c>
      <c r="B103" s="54">
        <v>8</v>
      </c>
      <c r="C103" s="54" t="s">
        <v>37</v>
      </c>
      <c r="D103" s="54">
        <v>2</v>
      </c>
      <c r="E103" s="54" t="str">
        <f t="shared" si="0"/>
        <v>8::Computing systems::2::- Describe the function of the hardware components used in computing systems</v>
      </c>
      <c r="F103" s="54" t="s">
        <v>1700</v>
      </c>
      <c r="G103" s="54" t="s">
        <v>1697</v>
      </c>
      <c r="H103" s="54" t="s">
        <v>18</v>
      </c>
      <c r="I103" s="54" t="s">
        <v>1083</v>
      </c>
    </row>
    <row r="104" spans="1:9" ht="13">
      <c r="A104" s="54">
        <v>3</v>
      </c>
      <c r="B104" s="54">
        <v>8</v>
      </c>
      <c r="C104" s="54" t="s">
        <v>37</v>
      </c>
      <c r="D104" s="54">
        <v>2</v>
      </c>
      <c r="E104" s="54" t="str">
        <f t="shared" si="0"/>
        <v>8::Computing systems::2::- Describe how the hardware components used in computing systems work together in order to execute programs</v>
      </c>
      <c r="F104" s="54" t="s">
        <v>1701</v>
      </c>
      <c r="G104" s="54" t="s">
        <v>1697</v>
      </c>
      <c r="H104" s="54" t="s">
        <v>1483</v>
      </c>
      <c r="I104" s="54" t="s">
        <v>1083</v>
      </c>
    </row>
    <row r="105" spans="1:9" ht="13">
      <c r="A105" s="54">
        <v>3</v>
      </c>
      <c r="B105" s="54">
        <v>8</v>
      </c>
      <c r="C105" s="54" t="s">
        <v>37</v>
      </c>
      <c r="D105" s="54">
        <v>2</v>
      </c>
      <c r="E105" s="54" t="str">
        <f t="shared" si="0"/>
        <v>8::Computing systems::2::- Recall that all computing systems, regardless of form, have a similar structure (‘architecture’)</v>
      </c>
      <c r="F105" s="54" t="s">
        <v>1702</v>
      </c>
      <c r="G105" s="54" t="s">
        <v>1697</v>
      </c>
      <c r="H105" s="54" t="s">
        <v>18</v>
      </c>
      <c r="I105" s="54" t="s">
        <v>1083</v>
      </c>
    </row>
    <row r="106" spans="1:9" ht="13">
      <c r="A106" s="54">
        <v>3</v>
      </c>
      <c r="B106" s="54">
        <v>8</v>
      </c>
      <c r="C106" s="54" t="s">
        <v>37</v>
      </c>
      <c r="D106" s="54">
        <v>3</v>
      </c>
      <c r="E106" s="54" t="str">
        <f t="shared" si="0"/>
        <v>8::Computing systems::3::- Analyse how the hardware components used in computing systems work together in order to execute programs</v>
      </c>
      <c r="F106" s="54" t="s">
        <v>1703</v>
      </c>
      <c r="G106" s="54" t="s">
        <v>1697</v>
      </c>
      <c r="H106" s="54" t="s">
        <v>18</v>
      </c>
      <c r="I106" s="54" t="s">
        <v>1083</v>
      </c>
    </row>
    <row r="107" spans="1:9" ht="13">
      <c r="A107" s="54">
        <v>3</v>
      </c>
      <c r="B107" s="54">
        <v>8</v>
      </c>
      <c r="C107" s="54" t="s">
        <v>37</v>
      </c>
      <c r="D107" s="54">
        <v>3</v>
      </c>
      <c r="E107" s="54" t="str">
        <f t="shared" si="0"/>
        <v>8::Computing systems::3::- Define what an operating system is, and recall its role in controlling program execution</v>
      </c>
      <c r="F107" s="54" t="s">
        <v>1704</v>
      </c>
      <c r="G107" s="54" t="s">
        <v>1697</v>
      </c>
      <c r="H107" s="54" t="s">
        <v>18</v>
      </c>
      <c r="I107" s="54" t="s">
        <v>1083</v>
      </c>
    </row>
    <row r="108" spans="1:9" ht="13">
      <c r="A108" s="54">
        <v>3</v>
      </c>
      <c r="B108" s="54">
        <v>8</v>
      </c>
      <c r="C108" s="54" t="s">
        <v>37</v>
      </c>
      <c r="D108" s="54">
        <v>4</v>
      </c>
      <c r="E108" s="54" t="str">
        <f t="shared" si="0"/>
        <v>8::Computing systems::4::- Describe the NOT, AND, and OR logical operators, and how they are used to form logical expressions</v>
      </c>
      <c r="F108" s="54" t="s">
        <v>1705</v>
      </c>
      <c r="G108" s="54" t="s">
        <v>1697</v>
      </c>
      <c r="H108" s="54" t="s">
        <v>18</v>
      </c>
      <c r="I108" s="54" t="s">
        <v>1083</v>
      </c>
    </row>
    <row r="109" spans="1:9" ht="13">
      <c r="A109" s="54">
        <v>3</v>
      </c>
      <c r="B109" s="54">
        <v>8</v>
      </c>
      <c r="C109" s="54" t="s">
        <v>37</v>
      </c>
      <c r="D109" s="54">
        <v>4</v>
      </c>
      <c r="E109" s="54" t="str">
        <f t="shared" si="0"/>
        <v>8::Computing systems::4::- Use logic gates to construct logic circuits, and associate these with logical operators and expressions</v>
      </c>
      <c r="F109" s="54" t="s">
        <v>1706</v>
      </c>
      <c r="G109" s="54" t="s">
        <v>1697</v>
      </c>
      <c r="H109" s="54" t="s">
        <v>18</v>
      </c>
      <c r="I109" s="54" t="s">
        <v>1083</v>
      </c>
    </row>
    <row r="110" spans="1:9" ht="13">
      <c r="A110" s="54">
        <v>3</v>
      </c>
      <c r="B110" s="54">
        <v>8</v>
      </c>
      <c r="C110" s="54" t="s">
        <v>37</v>
      </c>
      <c r="D110" s="54">
        <v>4</v>
      </c>
      <c r="E110" s="54" t="str">
        <f t="shared" si="0"/>
        <v>8::Computing systems::4::- Describe how hardware is built out of increasingly complex logic circuits</v>
      </c>
      <c r="F110" s="54" t="s">
        <v>1707</v>
      </c>
      <c r="G110" s="54" t="s">
        <v>1697</v>
      </c>
      <c r="H110" s="54" t="s">
        <v>18</v>
      </c>
      <c r="I110" s="54" t="s">
        <v>1083</v>
      </c>
    </row>
    <row r="111" spans="1:9" ht="13">
      <c r="A111" s="54">
        <v>3</v>
      </c>
      <c r="B111" s="54">
        <v>8</v>
      </c>
      <c r="C111" s="54" t="s">
        <v>37</v>
      </c>
      <c r="D111" s="54">
        <v>4</v>
      </c>
      <c r="E111" s="54" t="str">
        <f t="shared" si="0"/>
        <v>8::Computing systems::4::- Recall that, since hardware is built out of logic circuits, data and instructions alike need to be represented using binary digits</v>
      </c>
      <c r="F111" s="54" t="s">
        <v>1708</v>
      </c>
      <c r="G111" s="54" t="s">
        <v>1697</v>
      </c>
      <c r="H111" s="54" t="s">
        <v>1709</v>
      </c>
      <c r="I111" s="54" t="s">
        <v>1083</v>
      </c>
    </row>
    <row r="112" spans="1:9" ht="13">
      <c r="A112" s="54">
        <v>3</v>
      </c>
      <c r="B112" s="54">
        <v>8</v>
      </c>
      <c r="C112" s="54" t="s">
        <v>37</v>
      </c>
      <c r="D112" s="54">
        <v>5</v>
      </c>
      <c r="E112" s="54" t="str">
        <f t="shared" si="0"/>
        <v>8::Computing systems::5::- Provide broad definitions of ‘artificial intelligence’ and ‘machine learning’</v>
      </c>
      <c r="F112" s="54" t="s">
        <v>1710</v>
      </c>
      <c r="G112" s="54" t="s">
        <v>1697</v>
      </c>
      <c r="H112" s="54" t="s">
        <v>1066</v>
      </c>
      <c r="I112" s="54" t="s">
        <v>1083</v>
      </c>
    </row>
    <row r="113" spans="1:9" ht="13">
      <c r="A113" s="54">
        <v>3</v>
      </c>
      <c r="B113" s="54">
        <v>8</v>
      </c>
      <c r="C113" s="54" t="s">
        <v>37</v>
      </c>
      <c r="D113" s="54">
        <v>5</v>
      </c>
      <c r="E113" s="54" t="str">
        <f t="shared" si="0"/>
        <v>8::Computing systems::5::- Identify examples of artificial intelligence and machine learning in the real world</v>
      </c>
      <c r="F113" s="54" t="s">
        <v>1711</v>
      </c>
      <c r="G113" s="54" t="s">
        <v>1697</v>
      </c>
      <c r="H113" s="54" t="s">
        <v>1066</v>
      </c>
      <c r="I113" s="54" t="s">
        <v>1083</v>
      </c>
    </row>
    <row r="114" spans="1:9" ht="13">
      <c r="A114" s="54">
        <v>3</v>
      </c>
      <c r="B114" s="54">
        <v>8</v>
      </c>
      <c r="C114" s="54" t="s">
        <v>37</v>
      </c>
      <c r="D114" s="54">
        <v>5</v>
      </c>
      <c r="E114" s="54" t="str">
        <f t="shared" si="0"/>
        <v>8::Computing systems::5::- Describe the steps involved in training machines to perform tasks (gathering data, training, testing)</v>
      </c>
      <c r="F114" s="54" t="s">
        <v>1712</v>
      </c>
      <c r="G114" s="54" t="s">
        <v>1697</v>
      </c>
      <c r="H114" s="54" t="s">
        <v>1066</v>
      </c>
      <c r="I114" s="54" t="s">
        <v>1083</v>
      </c>
    </row>
    <row r="115" spans="1:9" ht="13">
      <c r="A115" s="54">
        <v>3</v>
      </c>
      <c r="B115" s="54">
        <v>8</v>
      </c>
      <c r="C115" s="54" t="s">
        <v>37</v>
      </c>
      <c r="D115" s="54">
        <v>5</v>
      </c>
      <c r="E115" s="54" t="str">
        <f t="shared" si="0"/>
        <v>8::Computing systems::5::- Describe how machine learning differs from traditional programming</v>
      </c>
      <c r="F115" s="54" t="s">
        <v>1713</v>
      </c>
      <c r="G115" s="54" t="s">
        <v>1697</v>
      </c>
      <c r="H115" s="54" t="s">
        <v>1483</v>
      </c>
      <c r="I115" s="54" t="s">
        <v>1083</v>
      </c>
    </row>
    <row r="116" spans="1:9" ht="13">
      <c r="A116" s="54">
        <v>3</v>
      </c>
      <c r="B116" s="54">
        <v>8</v>
      </c>
      <c r="C116" s="54" t="s">
        <v>37</v>
      </c>
      <c r="D116" s="54">
        <v>5</v>
      </c>
      <c r="E116" s="54" t="str">
        <f t="shared" si="0"/>
        <v>8::Computing systems::5::- Associate the use of artificial intelligence with moral dilemmas</v>
      </c>
      <c r="F116" s="54" t="s">
        <v>1714</v>
      </c>
      <c r="G116" s="54" t="s">
        <v>1697</v>
      </c>
      <c r="H116" s="54" t="s">
        <v>1066</v>
      </c>
      <c r="I116" s="54" t="s">
        <v>1083</v>
      </c>
    </row>
    <row r="117" spans="1:9" ht="13">
      <c r="A117" s="54">
        <v>3</v>
      </c>
      <c r="B117" s="54">
        <v>8</v>
      </c>
      <c r="C117" s="54" t="s">
        <v>37</v>
      </c>
      <c r="D117" s="54">
        <v>6</v>
      </c>
      <c r="E117" s="54" t="str">
        <f t="shared" si="0"/>
        <v>8::Computing systems::6::- Explain the implications of sharing program code</v>
      </c>
      <c r="F117" s="54" t="s">
        <v>1715</v>
      </c>
      <c r="G117" s="54" t="s">
        <v>1697</v>
      </c>
      <c r="H117" s="54" t="s">
        <v>1716</v>
      </c>
      <c r="I117" s="54" t="s">
        <v>1083</v>
      </c>
    </row>
    <row r="118" spans="1:9" ht="13">
      <c r="A118" s="54">
        <v>3</v>
      </c>
      <c r="B118" s="54">
        <v>8</v>
      </c>
      <c r="C118" s="54" t="s">
        <v>1717</v>
      </c>
      <c r="D118" s="54">
        <v>1</v>
      </c>
      <c r="E118" s="54" t="str">
        <f t="shared" si="0"/>
        <v>8::Developing for the web::1::- Describe what HTML is</v>
      </c>
      <c r="F118" s="54" t="s">
        <v>1718</v>
      </c>
      <c r="G118" s="54">
        <v>3.8</v>
      </c>
      <c r="H118" s="54" t="s">
        <v>27</v>
      </c>
      <c r="I118" s="54" t="s">
        <v>1083</v>
      </c>
    </row>
    <row r="119" spans="1:9" ht="13">
      <c r="A119" s="54">
        <v>3</v>
      </c>
      <c r="B119" s="54">
        <v>8</v>
      </c>
      <c r="C119" s="54" t="s">
        <v>1717</v>
      </c>
      <c r="D119" s="54">
        <v>1</v>
      </c>
      <c r="E119" s="54" t="str">
        <f t="shared" si="0"/>
        <v>8::Developing for the web::1::- Use HTML to structure static web pages</v>
      </c>
      <c r="F119" s="54" t="s">
        <v>1719</v>
      </c>
      <c r="G119" s="54">
        <v>3.8</v>
      </c>
      <c r="H119" s="54" t="s">
        <v>1720</v>
      </c>
      <c r="I119" s="54" t="s">
        <v>1083</v>
      </c>
    </row>
    <row r="120" spans="1:9" ht="13">
      <c r="A120" s="54">
        <v>3</v>
      </c>
      <c r="B120" s="54">
        <v>8</v>
      </c>
      <c r="C120" s="54" t="s">
        <v>1717</v>
      </c>
      <c r="D120" s="54">
        <v>1</v>
      </c>
      <c r="E120" s="54" t="str">
        <f t="shared" si="0"/>
        <v>8::Developing for the web::1::- Modify HTML tags using inline styling to improve the appearance of web pages</v>
      </c>
      <c r="F120" s="54" t="s">
        <v>1721</v>
      </c>
      <c r="G120" s="54">
        <v>3.8</v>
      </c>
      <c r="H120" s="54" t="s">
        <v>1722</v>
      </c>
      <c r="I120" s="54" t="s">
        <v>1083</v>
      </c>
    </row>
    <row r="121" spans="1:9" ht="13">
      <c r="A121" s="54">
        <v>3</v>
      </c>
      <c r="B121" s="54">
        <v>8</v>
      </c>
      <c r="C121" s="54" t="s">
        <v>1717</v>
      </c>
      <c r="D121" s="54">
        <v>2</v>
      </c>
      <c r="E121" s="54" t="str">
        <f t="shared" si="0"/>
        <v>8::Developing for the web::2::- Display images within a web page</v>
      </c>
      <c r="F121" s="54" t="s">
        <v>1723</v>
      </c>
      <c r="G121" s="54">
        <v>3.8</v>
      </c>
      <c r="H121" s="54" t="s">
        <v>1720</v>
      </c>
      <c r="I121" s="54" t="s">
        <v>1083</v>
      </c>
    </row>
    <row r="122" spans="1:9" ht="13">
      <c r="A122" s="54">
        <v>3</v>
      </c>
      <c r="B122" s="54">
        <v>8</v>
      </c>
      <c r="C122" s="54" t="s">
        <v>1717</v>
      </c>
      <c r="D122" s="54">
        <v>2</v>
      </c>
      <c r="E122" s="54" t="str">
        <f t="shared" si="0"/>
        <v>8::Developing for the web::2::- Apply HTML tags to construct a web page structure from a provided design</v>
      </c>
      <c r="F122" s="54" t="s">
        <v>1724</v>
      </c>
      <c r="G122" s="54">
        <v>3.8</v>
      </c>
      <c r="H122" s="54" t="s">
        <v>1720</v>
      </c>
      <c r="I122" s="54" t="s">
        <v>1083</v>
      </c>
    </row>
    <row r="123" spans="1:9" ht="13">
      <c r="A123" s="54">
        <v>3</v>
      </c>
      <c r="B123" s="54">
        <v>8</v>
      </c>
      <c r="C123" s="54" t="s">
        <v>1717</v>
      </c>
      <c r="D123" s="54">
        <v>3</v>
      </c>
      <c r="E123" s="54" t="str">
        <f t="shared" si="0"/>
        <v>8::Developing for the web::3::- Describe what CSS is</v>
      </c>
      <c r="F123" s="54" t="s">
        <v>1725</v>
      </c>
      <c r="G123" s="54">
        <v>3.8</v>
      </c>
      <c r="H123" s="54" t="s">
        <v>1720</v>
      </c>
      <c r="I123" s="54" t="s">
        <v>1083</v>
      </c>
    </row>
    <row r="124" spans="1:9" ht="13">
      <c r="A124" s="54">
        <v>3</v>
      </c>
      <c r="B124" s="54">
        <v>8</v>
      </c>
      <c r="C124" s="54" t="s">
        <v>1717</v>
      </c>
      <c r="D124" s="54">
        <v>3</v>
      </c>
      <c r="E124" s="54" t="str">
        <f t="shared" si="0"/>
        <v>8::Developing for the web::3::- Use CSS to style static web pages</v>
      </c>
      <c r="F124" s="54" t="s">
        <v>1726</v>
      </c>
      <c r="G124" s="54">
        <v>3.8</v>
      </c>
      <c r="H124" s="54" t="s">
        <v>1722</v>
      </c>
      <c r="I124" s="54" t="s">
        <v>1083</v>
      </c>
    </row>
    <row r="125" spans="1:9" ht="13">
      <c r="A125" s="54">
        <v>3</v>
      </c>
      <c r="B125" s="54">
        <v>8</v>
      </c>
      <c r="C125" s="54" t="s">
        <v>1717</v>
      </c>
      <c r="D125" s="54">
        <v>3</v>
      </c>
      <c r="E125" s="54" t="str">
        <f t="shared" si="0"/>
        <v>8::Developing for the web::3::- Assess the benefits of using CSS to style pages instead of in-line formatting</v>
      </c>
      <c r="F125" s="54" t="s">
        <v>1727</v>
      </c>
      <c r="G125" s="54">
        <v>3.8</v>
      </c>
      <c r="H125" s="54" t="s">
        <v>1728</v>
      </c>
      <c r="I125" s="54" t="s">
        <v>1083</v>
      </c>
    </row>
    <row r="126" spans="1:9" ht="13">
      <c r="A126" s="54">
        <v>3</v>
      </c>
      <c r="B126" s="54">
        <v>8</v>
      </c>
      <c r="C126" s="54" t="s">
        <v>1717</v>
      </c>
      <c r="D126" s="54">
        <v>4</v>
      </c>
      <c r="E126" s="54" t="str">
        <f t="shared" si="0"/>
        <v>8::Developing for the web::4::- Describe what a search engine is</v>
      </c>
      <c r="F126" s="54" t="s">
        <v>1729</v>
      </c>
      <c r="G126" s="54">
        <v>3.8</v>
      </c>
      <c r="H126" s="54" t="s">
        <v>1252</v>
      </c>
      <c r="I126" s="54" t="s">
        <v>1083</v>
      </c>
    </row>
    <row r="127" spans="1:9" ht="13">
      <c r="A127" s="54">
        <v>3</v>
      </c>
      <c r="B127" s="54">
        <v>8</v>
      </c>
      <c r="C127" s="54" t="s">
        <v>1717</v>
      </c>
      <c r="D127" s="54">
        <v>4</v>
      </c>
      <c r="E127" s="54" t="str">
        <f t="shared" si="0"/>
        <v>8::Developing for the web::4::- Explain how search engines ‘crawl’ through the World Wide Web and how they select and rank results</v>
      </c>
      <c r="F127" s="54" t="s">
        <v>1730</v>
      </c>
      <c r="G127" s="54">
        <v>3.8</v>
      </c>
      <c r="H127" s="54" t="s">
        <v>1731</v>
      </c>
      <c r="I127" s="54" t="s">
        <v>1083</v>
      </c>
    </row>
    <row r="128" spans="1:9" ht="13">
      <c r="A128" s="54">
        <v>3</v>
      </c>
      <c r="B128" s="54">
        <v>8</v>
      </c>
      <c r="C128" s="54" t="s">
        <v>1717</v>
      </c>
      <c r="D128" s="54">
        <v>4</v>
      </c>
      <c r="E128" s="54" t="str">
        <f t="shared" si="0"/>
        <v>8::Developing for the web::4::- Analyse how search engines select and rank results when searches are made</v>
      </c>
      <c r="F128" s="54" t="s">
        <v>1732</v>
      </c>
      <c r="G128" s="54">
        <v>3.8</v>
      </c>
      <c r="H128" s="54" t="s">
        <v>1733</v>
      </c>
      <c r="I128" s="54" t="s">
        <v>1083</v>
      </c>
    </row>
    <row r="129" spans="1:9" ht="13">
      <c r="A129" s="54">
        <v>3</v>
      </c>
      <c r="B129" s="54">
        <v>8</v>
      </c>
      <c r="C129" s="54" t="s">
        <v>1717</v>
      </c>
      <c r="D129" s="54">
        <v>5</v>
      </c>
      <c r="E129" s="54" t="str">
        <f t="shared" si="0"/>
        <v>8::Developing for the web::5::- Use search technologies effectively</v>
      </c>
      <c r="F129" s="54" t="s">
        <v>1734</v>
      </c>
      <c r="G129" s="54">
        <v>3.8</v>
      </c>
      <c r="H129" s="54" t="s">
        <v>1435</v>
      </c>
      <c r="I129" s="54" t="s">
        <v>1083</v>
      </c>
    </row>
    <row r="130" spans="1:9" ht="13">
      <c r="A130" s="54">
        <v>3</v>
      </c>
      <c r="B130" s="54">
        <v>8</v>
      </c>
      <c r="C130" s="54" t="s">
        <v>1717</v>
      </c>
      <c r="D130" s="54">
        <v>5</v>
      </c>
      <c r="E130" s="54" t="str">
        <f t="shared" si="0"/>
        <v>8::Developing for the web::5::- Discuss the impact of search technologies and the issues that arise by the way they function and the way they are used</v>
      </c>
      <c r="F130" s="54" t="s">
        <v>1735</v>
      </c>
      <c r="G130" s="54">
        <v>3.8</v>
      </c>
      <c r="H130" s="54" t="s">
        <v>1736</v>
      </c>
      <c r="I130" s="54" t="s">
        <v>1083</v>
      </c>
    </row>
    <row r="131" spans="1:9" ht="13">
      <c r="A131" s="54">
        <v>3</v>
      </c>
      <c r="B131" s="54">
        <v>8</v>
      </c>
      <c r="C131" s="54" t="s">
        <v>1717</v>
      </c>
      <c r="D131" s="54">
        <v>5</v>
      </c>
      <c r="E131" s="54" t="str">
        <f t="shared" si="0"/>
        <v>8::Developing for the web::5::- Create hyperlinks to allow users to navigate between multiple web pages</v>
      </c>
      <c r="F131" s="54" t="s">
        <v>1737</v>
      </c>
      <c r="G131" s="54">
        <v>3.8</v>
      </c>
      <c r="H131" s="54" t="s">
        <v>1722</v>
      </c>
      <c r="I131" s="54" t="s">
        <v>1083</v>
      </c>
    </row>
    <row r="132" spans="1:9" ht="13">
      <c r="A132" s="54">
        <v>3</v>
      </c>
      <c r="B132" s="54">
        <v>8</v>
      </c>
      <c r="C132" s="54" t="s">
        <v>1717</v>
      </c>
      <c r="D132" s="54">
        <v>6</v>
      </c>
      <c r="E132" s="54" t="str">
        <f t="shared" si="0"/>
        <v>8::Developing for the web::6::- Implement navigation to complete a functioning website</v>
      </c>
      <c r="F132" s="54" t="s">
        <v>1738</v>
      </c>
      <c r="G132" s="54">
        <v>3.8</v>
      </c>
      <c r="H132" s="54" t="s">
        <v>1681</v>
      </c>
      <c r="I132" s="54" t="s">
        <v>1083</v>
      </c>
    </row>
    <row r="133" spans="1:9" ht="13">
      <c r="A133" s="54">
        <v>3</v>
      </c>
      <c r="B133" s="54">
        <v>8</v>
      </c>
      <c r="C133" s="54" t="s">
        <v>1717</v>
      </c>
      <c r="D133" s="54">
        <v>6</v>
      </c>
      <c r="E133" s="54" t="str">
        <f t="shared" si="0"/>
        <v>8::Developing for the web::6::- Complete summative assessment</v>
      </c>
      <c r="F133" s="54" t="s">
        <v>1739</v>
      </c>
      <c r="G133" s="54">
        <v>3.8</v>
      </c>
      <c r="H133" s="54" t="s">
        <v>1740</v>
      </c>
      <c r="I133" s="54" t="s">
        <v>1083</v>
      </c>
    </row>
    <row r="134" spans="1:9" ht="13">
      <c r="A134" s="54">
        <v>3</v>
      </c>
      <c r="B134" s="54">
        <v>8</v>
      </c>
      <c r="C134" s="54" t="s">
        <v>1741</v>
      </c>
      <c r="D134" s="54">
        <v>1</v>
      </c>
      <c r="E134" s="54" t="str">
        <f t="shared" si="0"/>
        <v>8::Introduction to Python programming::1::- Describe what algorithms and programs are and how they differ</v>
      </c>
      <c r="F134" s="54" t="s">
        <v>1742</v>
      </c>
      <c r="G134" s="54" t="s">
        <v>1743</v>
      </c>
      <c r="H134" s="54" t="s">
        <v>1221</v>
      </c>
      <c r="I134" s="54" t="s">
        <v>1083</v>
      </c>
    </row>
    <row r="135" spans="1:9" ht="13">
      <c r="A135" s="54">
        <v>3</v>
      </c>
      <c r="B135" s="54">
        <v>8</v>
      </c>
      <c r="C135" s="54" t="s">
        <v>1741</v>
      </c>
      <c r="D135" s="54">
        <v>1</v>
      </c>
      <c r="E135" s="54" t="str">
        <f t="shared" si="0"/>
        <v>8::Introduction to Python programming::1::- Recall that a program written in a programming language needs to be translated in order to be executed by a machine</v>
      </c>
      <c r="F135" s="54" t="s">
        <v>1744</v>
      </c>
      <c r="G135" s="54" t="s">
        <v>1743</v>
      </c>
      <c r="H135" s="54" t="s">
        <v>1483</v>
      </c>
      <c r="I135" s="54" t="s">
        <v>1083</v>
      </c>
    </row>
    <row r="136" spans="1:9" ht="13">
      <c r="A136" s="54">
        <v>3</v>
      </c>
      <c r="B136" s="54">
        <v>8</v>
      </c>
      <c r="C136" s="54" t="s">
        <v>1741</v>
      </c>
      <c r="D136" s="54">
        <v>1</v>
      </c>
      <c r="E136" s="54" t="str">
        <f t="shared" si="0"/>
        <v>8::Introduction to Python programming::1::- Write simple Python programs that display messages, assign values to variables, and receive keyboard input</v>
      </c>
      <c r="F136" s="54" t="s">
        <v>1745</v>
      </c>
      <c r="G136" s="54" t="s">
        <v>1743</v>
      </c>
      <c r="H136" s="54" t="s">
        <v>27</v>
      </c>
      <c r="I136" s="54" t="s">
        <v>1083</v>
      </c>
    </row>
    <row r="137" spans="1:9" ht="13">
      <c r="A137" s="54">
        <v>3</v>
      </c>
      <c r="B137" s="54">
        <v>8</v>
      </c>
      <c r="C137" s="54" t="s">
        <v>1741</v>
      </c>
      <c r="D137" s="54">
        <v>1</v>
      </c>
      <c r="E137" s="54" t="str">
        <f t="shared" si="0"/>
        <v>8::Introduction to Python programming::1::- Locate and correct common syntax errors</v>
      </c>
      <c r="F137" s="54" t="s">
        <v>1746</v>
      </c>
      <c r="G137" s="54" t="s">
        <v>1743</v>
      </c>
      <c r="H137" s="54" t="s">
        <v>27</v>
      </c>
      <c r="I137" s="54" t="s">
        <v>1083</v>
      </c>
    </row>
    <row r="138" spans="1:9" ht="13">
      <c r="A138" s="54">
        <v>3</v>
      </c>
      <c r="B138" s="54">
        <v>8</v>
      </c>
      <c r="C138" s="54" t="s">
        <v>1741</v>
      </c>
      <c r="D138" s="54">
        <v>2</v>
      </c>
      <c r="E138" s="54" t="str">
        <f t="shared" si="0"/>
        <v>8::Introduction to Python programming::2::- Describe the semantics of assignment statements</v>
      </c>
      <c r="F138" s="54" t="s">
        <v>1747</v>
      </c>
      <c r="G138" s="54" t="s">
        <v>1743</v>
      </c>
      <c r="H138" s="54" t="s">
        <v>27</v>
      </c>
      <c r="I138" s="54" t="s">
        <v>1083</v>
      </c>
    </row>
    <row r="139" spans="1:9" ht="13">
      <c r="A139" s="54">
        <v>3</v>
      </c>
      <c r="B139" s="54">
        <v>8</v>
      </c>
      <c r="C139" s="54" t="s">
        <v>1741</v>
      </c>
      <c r="D139" s="54">
        <v>2</v>
      </c>
      <c r="E139" s="54" t="str">
        <f t="shared" si="0"/>
        <v>8::Introduction to Python programming::2::- Use simple arithmetic expressions in assignment statements to calculate values</v>
      </c>
      <c r="F139" s="54" t="s">
        <v>1748</v>
      </c>
      <c r="G139" s="54" t="s">
        <v>1743</v>
      </c>
      <c r="H139" s="54" t="s">
        <v>27</v>
      </c>
      <c r="I139" s="54" t="s">
        <v>1083</v>
      </c>
    </row>
    <row r="140" spans="1:9" ht="13">
      <c r="A140" s="54">
        <v>3</v>
      </c>
      <c r="B140" s="54">
        <v>8</v>
      </c>
      <c r="C140" s="54" t="s">
        <v>1741</v>
      </c>
      <c r="D140" s="54">
        <v>2</v>
      </c>
      <c r="E140" s="54" t="str">
        <f t="shared" si="0"/>
        <v>8::Introduction to Python programming::2::- Receive input from the keyboard and convert it to a numerical value</v>
      </c>
      <c r="F140" s="54" t="s">
        <v>1749</v>
      </c>
      <c r="G140" s="54" t="s">
        <v>1743</v>
      </c>
      <c r="H140" s="54" t="s">
        <v>27</v>
      </c>
      <c r="I140" s="54" t="s">
        <v>1083</v>
      </c>
    </row>
    <row r="141" spans="1:9" ht="13">
      <c r="A141" s="54">
        <v>3</v>
      </c>
      <c r="B141" s="54">
        <v>8</v>
      </c>
      <c r="C141" s="54" t="s">
        <v>1741</v>
      </c>
      <c r="D141" s="54">
        <v>3</v>
      </c>
      <c r="E141" s="54" t="str">
        <f t="shared" si="0"/>
        <v>8::Introduction to Python programming::3::- Use relational operators to form logical expressions</v>
      </c>
      <c r="F141" s="54" t="s">
        <v>1750</v>
      </c>
      <c r="G141" s="54" t="s">
        <v>1743</v>
      </c>
      <c r="H141" s="54" t="s">
        <v>27</v>
      </c>
      <c r="I141" s="54" t="s">
        <v>1083</v>
      </c>
    </row>
    <row r="142" spans="1:9" ht="13">
      <c r="A142" s="54">
        <v>3</v>
      </c>
      <c r="B142" s="54">
        <v>8</v>
      </c>
      <c r="C142" s="54" t="s">
        <v>1741</v>
      </c>
      <c r="D142" s="54">
        <v>3</v>
      </c>
      <c r="E142" s="54" t="str">
        <f t="shared" si="0"/>
        <v>8::Introduction to Python programming::3::- Use binary selection (if, else statements) to control the flow of program execution</v>
      </c>
      <c r="F142" s="54" t="s">
        <v>1751</v>
      </c>
      <c r="G142" s="54" t="s">
        <v>1743</v>
      </c>
      <c r="H142" s="54" t="s">
        <v>27</v>
      </c>
      <c r="I142" s="54" t="s">
        <v>1083</v>
      </c>
    </row>
    <row r="143" spans="1:9" ht="13">
      <c r="A143" s="54">
        <v>3</v>
      </c>
      <c r="B143" s="54">
        <v>8</v>
      </c>
      <c r="C143" s="54" t="s">
        <v>1741</v>
      </c>
      <c r="D143" s="54">
        <v>3</v>
      </c>
      <c r="E143" s="54" t="str">
        <f t="shared" si="0"/>
        <v>8::Introduction to Python programming::3::- Generate and use random integers</v>
      </c>
      <c r="F143" s="54" t="s">
        <v>1752</v>
      </c>
      <c r="G143" s="54" t="s">
        <v>1743</v>
      </c>
      <c r="H143" s="54" t="s">
        <v>27</v>
      </c>
      <c r="I143" s="54" t="s">
        <v>1083</v>
      </c>
    </row>
    <row r="144" spans="1:9" ht="13">
      <c r="A144" s="54">
        <v>3</v>
      </c>
      <c r="B144" s="54">
        <v>8</v>
      </c>
      <c r="C144" s="54" t="s">
        <v>1741</v>
      </c>
      <c r="D144" s="54">
        <v>4</v>
      </c>
      <c r="E144" s="54" t="str">
        <f t="shared" si="0"/>
        <v>8::Introduction to Python programming::4::- Use multi-branch selection (if, elif, else statements) to control the flow of program execution</v>
      </c>
      <c r="F144" s="54" t="s">
        <v>1753</v>
      </c>
      <c r="G144" s="54" t="s">
        <v>1743</v>
      </c>
      <c r="H144" s="54" t="s">
        <v>27</v>
      </c>
      <c r="I144" s="54" t="s">
        <v>1083</v>
      </c>
    </row>
    <row r="145" spans="1:9" ht="13">
      <c r="A145" s="54">
        <v>3</v>
      </c>
      <c r="B145" s="54">
        <v>8</v>
      </c>
      <c r="C145" s="54" t="s">
        <v>1741</v>
      </c>
      <c r="D145" s="54">
        <v>4</v>
      </c>
      <c r="E145" s="54" t="str">
        <f t="shared" si="0"/>
        <v>8::Introduction to Python programming::4::- Describe how iteration (while statements) controls the flow of program execution</v>
      </c>
      <c r="F145" s="54" t="s">
        <v>1754</v>
      </c>
      <c r="G145" s="54" t="s">
        <v>1743</v>
      </c>
      <c r="H145" s="54" t="s">
        <v>27</v>
      </c>
      <c r="I145" s="54" t="s">
        <v>1083</v>
      </c>
    </row>
    <row r="146" spans="1:9" ht="13">
      <c r="A146" s="54">
        <v>3</v>
      </c>
      <c r="B146" s="54">
        <v>8</v>
      </c>
      <c r="C146" s="54" t="s">
        <v>1741</v>
      </c>
      <c r="D146" s="54">
        <v>5</v>
      </c>
      <c r="E146" s="54" t="str">
        <f t="shared" si="0"/>
        <v>8::Introduction to Python programming::5::- Use iteration (while loops) to control the flow of program execution</v>
      </c>
      <c r="F146" s="54" t="s">
        <v>1755</v>
      </c>
      <c r="G146" s="54" t="s">
        <v>1743</v>
      </c>
      <c r="H146" s="54" t="s">
        <v>27</v>
      </c>
      <c r="I146" s="54" t="s">
        <v>1083</v>
      </c>
    </row>
    <row r="147" spans="1:9" ht="13">
      <c r="A147" s="54">
        <v>3</v>
      </c>
      <c r="B147" s="54">
        <v>8</v>
      </c>
      <c r="C147" s="54" t="s">
        <v>1741</v>
      </c>
      <c r="D147" s="54">
        <v>5</v>
      </c>
      <c r="E147" s="54" t="str">
        <f t="shared" si="0"/>
        <v>8::Introduction to Python programming::5::- Use variables as counters in iterative programs</v>
      </c>
      <c r="F147" s="54" t="s">
        <v>1756</v>
      </c>
      <c r="G147" s="54" t="s">
        <v>1743</v>
      </c>
      <c r="H147" s="54" t="s">
        <v>27</v>
      </c>
      <c r="I147" s="54" t="s">
        <v>1083</v>
      </c>
    </row>
    <row r="148" spans="1:9" ht="13">
      <c r="A148" s="54">
        <v>3</v>
      </c>
      <c r="B148" s="54">
        <v>8</v>
      </c>
      <c r="C148" s="54" t="s">
        <v>1741</v>
      </c>
      <c r="D148" s="54">
        <v>6</v>
      </c>
      <c r="E148" s="54" t="str">
        <f t="shared" si="0"/>
        <v>8::Introduction to Python programming::6::- Combine iteration and selection to control the flow of program execution</v>
      </c>
      <c r="F148" s="54" t="s">
        <v>1757</v>
      </c>
      <c r="G148" s="54" t="s">
        <v>1743</v>
      </c>
      <c r="H148" s="54" t="s">
        <v>27</v>
      </c>
      <c r="I148" s="54" t="s">
        <v>1083</v>
      </c>
    </row>
    <row r="149" spans="1:9" ht="13">
      <c r="A149" s="54">
        <v>3</v>
      </c>
      <c r="B149" s="54">
        <v>8</v>
      </c>
      <c r="C149" s="54" t="s">
        <v>1741</v>
      </c>
      <c r="D149" s="54">
        <v>6</v>
      </c>
      <c r="E149" s="54" t="str">
        <f t="shared" si="0"/>
        <v>8::Introduction to Python programming::6::- Use Boolean variables as flags</v>
      </c>
      <c r="F149" s="54" t="s">
        <v>1758</v>
      </c>
      <c r="G149" s="54" t="s">
        <v>1743</v>
      </c>
      <c r="H149" s="54" t="s">
        <v>27</v>
      </c>
      <c r="I149" s="54" t="s">
        <v>1083</v>
      </c>
    </row>
    <row r="150" spans="1:9" ht="13">
      <c r="A150" s="54">
        <v>3</v>
      </c>
      <c r="B150" s="54">
        <v>8</v>
      </c>
      <c r="C150" s="54" t="s">
        <v>1759</v>
      </c>
      <c r="D150" s="54">
        <v>1</v>
      </c>
      <c r="E150" s="54" t="str">
        <f t="shared" si="0"/>
        <v>8::Media – Vector graphics::1::- Draw basic shapes (rectangle, ellipse, polygon, star) with different properties (fill and stroke, shape-specific attributes)</v>
      </c>
      <c r="F150" s="54" t="s">
        <v>1760</v>
      </c>
      <c r="G150" s="54" t="s">
        <v>1677</v>
      </c>
      <c r="H150" s="54" t="s">
        <v>1082</v>
      </c>
      <c r="I150" s="54" t="s">
        <v>1083</v>
      </c>
    </row>
    <row r="151" spans="1:9" ht="13">
      <c r="A151" s="54">
        <v>3</v>
      </c>
      <c r="B151" s="54">
        <v>8</v>
      </c>
      <c r="C151" s="54" t="s">
        <v>1759</v>
      </c>
      <c r="D151" s="54">
        <v>1</v>
      </c>
      <c r="E151" s="54" t="str">
        <f t="shared" si="0"/>
        <v>8::Media – Vector graphics::1::- Manipulate individual objects (select, move, resize, rotate, duplicate, flip, z-order)</v>
      </c>
      <c r="F151" s="54" t="s">
        <v>1761</v>
      </c>
      <c r="G151" s="54" t="s">
        <v>1677</v>
      </c>
      <c r="H151" s="54" t="s">
        <v>1082</v>
      </c>
      <c r="I151" s="54" t="s">
        <v>1083</v>
      </c>
    </row>
    <row r="152" spans="1:9" ht="13">
      <c r="A152" s="54">
        <v>3</v>
      </c>
      <c r="B152" s="54">
        <v>8</v>
      </c>
      <c r="C152" s="54" t="s">
        <v>1759</v>
      </c>
      <c r="D152" s="54">
        <v>2</v>
      </c>
      <c r="E152" s="54" t="str">
        <f t="shared" si="0"/>
        <v>8::Media – Vector graphics::2::- Manipulate groups of objects (select, group/ungroup, align, distribute)</v>
      </c>
      <c r="F152" s="54" t="s">
        <v>1762</v>
      </c>
      <c r="G152" s="54" t="s">
        <v>1677</v>
      </c>
      <c r="H152" s="54" t="s">
        <v>1082</v>
      </c>
      <c r="I152" s="54" t="s">
        <v>1083</v>
      </c>
    </row>
    <row r="153" spans="1:9" ht="13">
      <c r="A153" s="54">
        <v>3</v>
      </c>
      <c r="B153" s="54">
        <v>8</v>
      </c>
      <c r="C153" s="54" t="s">
        <v>1759</v>
      </c>
      <c r="D153" s="54">
        <v>2</v>
      </c>
      <c r="E153" s="54" t="str">
        <f t="shared" si="0"/>
        <v>8::Media – Vector graphics::2::- Combine paths by applying operations (union, difference, intersection)</v>
      </c>
      <c r="F153" s="54" t="s">
        <v>1763</v>
      </c>
      <c r="G153" s="54" t="s">
        <v>1677</v>
      </c>
      <c r="H153" s="54" t="s">
        <v>1082</v>
      </c>
      <c r="I153" s="54" t="s">
        <v>1083</v>
      </c>
    </row>
    <row r="154" spans="1:9" ht="13">
      <c r="A154" s="54">
        <v>3</v>
      </c>
      <c r="B154" s="54">
        <v>8</v>
      </c>
      <c r="C154" s="54" t="s">
        <v>1759</v>
      </c>
      <c r="D154" s="54">
        <v>3</v>
      </c>
      <c r="E154" s="54" t="str">
        <f t="shared" si="0"/>
        <v>8::Media – Vector graphics::3::- Convert objects to paths</v>
      </c>
      <c r="F154" s="54" t="s">
        <v>1764</v>
      </c>
      <c r="G154" s="54" t="s">
        <v>1677</v>
      </c>
      <c r="H154" s="54" t="s">
        <v>1082</v>
      </c>
      <c r="I154" s="54" t="s">
        <v>1083</v>
      </c>
    </row>
    <row r="155" spans="1:9" ht="13">
      <c r="A155" s="54">
        <v>3</v>
      </c>
      <c r="B155" s="54">
        <v>8</v>
      </c>
      <c r="C155" s="54" t="s">
        <v>1759</v>
      </c>
      <c r="D155" s="54">
        <v>3</v>
      </c>
      <c r="E155" s="54" t="str">
        <f t="shared" si="0"/>
        <v>8::Media – Vector graphics::3::- Draw paths</v>
      </c>
      <c r="F155" s="54" t="s">
        <v>1765</v>
      </c>
      <c r="G155" s="54" t="s">
        <v>1677</v>
      </c>
      <c r="H155" s="54" t="s">
        <v>1082</v>
      </c>
      <c r="I155" s="54" t="s">
        <v>1083</v>
      </c>
    </row>
    <row r="156" spans="1:9" ht="13">
      <c r="A156" s="54">
        <v>3</v>
      </c>
      <c r="B156" s="54">
        <v>8</v>
      </c>
      <c r="C156" s="54" t="s">
        <v>1759</v>
      </c>
      <c r="D156" s="54">
        <v>3</v>
      </c>
      <c r="E156" s="54" t="str">
        <f t="shared" si="0"/>
        <v>8::Media – Vector graphics::3::- Edit path nodes</v>
      </c>
      <c r="F156" s="54" t="s">
        <v>1766</v>
      </c>
      <c r="G156" s="54" t="s">
        <v>1677</v>
      </c>
      <c r="H156" s="54" t="s">
        <v>1082</v>
      </c>
      <c r="I156" s="54" t="s">
        <v>1083</v>
      </c>
    </row>
    <row r="157" spans="1:9" ht="13">
      <c r="A157" s="54">
        <v>3</v>
      </c>
      <c r="B157" s="54">
        <v>8</v>
      </c>
      <c r="C157" s="54" t="s">
        <v>1759</v>
      </c>
      <c r="D157" s="54">
        <v>4</v>
      </c>
      <c r="E157" s="54" t="str">
        <f t="shared" si="0"/>
        <v>8::Media – Vector graphics::4::- Combine multiple tools and techniques to create a vector graphic design</v>
      </c>
      <c r="F157" s="54" t="s">
        <v>1767</v>
      </c>
      <c r="G157" s="54" t="s">
        <v>1677</v>
      </c>
      <c r="H157" s="54" t="s">
        <v>1090</v>
      </c>
      <c r="I157" s="54" t="s">
        <v>1083</v>
      </c>
    </row>
    <row r="158" spans="1:9" ht="13">
      <c r="A158" s="54">
        <v>3</v>
      </c>
      <c r="B158" s="54">
        <v>8</v>
      </c>
      <c r="C158" s="54" t="s">
        <v>1759</v>
      </c>
      <c r="D158" s="54">
        <v>5</v>
      </c>
      <c r="E158" s="54" t="str">
        <f t="shared" si="0"/>
        <v>8::Media – Vector graphics::5::- Explain what vector graphics are</v>
      </c>
      <c r="F158" s="54" t="s">
        <v>1768</v>
      </c>
      <c r="G158" s="54" t="s">
        <v>1677</v>
      </c>
      <c r="H158" s="54" t="s">
        <v>1193</v>
      </c>
      <c r="I158" s="54" t="s">
        <v>1083</v>
      </c>
    </row>
    <row r="159" spans="1:9" ht="13">
      <c r="A159" s="54">
        <v>3</v>
      </c>
      <c r="B159" s="54">
        <v>8</v>
      </c>
      <c r="C159" s="54" t="s">
        <v>1759</v>
      </c>
      <c r="D159" s="54">
        <v>5</v>
      </c>
      <c r="E159" s="54" t="str">
        <f t="shared" si="0"/>
        <v>8::Media – Vector graphics::5::- Provide examples where using vector graphics would be appropriate</v>
      </c>
      <c r="F159" s="54" t="s">
        <v>1769</v>
      </c>
      <c r="G159" s="54" t="s">
        <v>1677</v>
      </c>
      <c r="H159" s="54" t="s">
        <v>1193</v>
      </c>
      <c r="I159" s="54" t="s">
        <v>1083</v>
      </c>
    </row>
    <row r="160" spans="1:9" ht="13">
      <c r="A160" s="54">
        <v>3</v>
      </c>
      <c r="B160" s="54">
        <v>8</v>
      </c>
      <c r="C160" s="54" t="s">
        <v>1759</v>
      </c>
      <c r="D160" s="54">
        <v>6</v>
      </c>
      <c r="E160" s="54" t="str">
        <f t="shared" si="0"/>
        <v>8::Media – Vector graphics::6::- Peer assess another pair’s project work</v>
      </c>
      <c r="F160" s="54" t="s">
        <v>1770</v>
      </c>
      <c r="G160" s="54" t="s">
        <v>1677</v>
      </c>
      <c r="H160" s="54" t="s">
        <v>15</v>
      </c>
      <c r="I160" s="54" t="s">
        <v>1083</v>
      </c>
    </row>
    <row r="161" spans="1:9" ht="13">
      <c r="A161" s="54">
        <v>3</v>
      </c>
      <c r="B161" s="54">
        <v>8</v>
      </c>
      <c r="C161" s="54" t="s">
        <v>1759</v>
      </c>
      <c r="D161" s="54">
        <v>6</v>
      </c>
      <c r="E161" s="54" t="str">
        <f t="shared" si="0"/>
        <v>8::Media – Vector graphics::6::- Improve your own project work based on feedback</v>
      </c>
      <c r="F161" s="54" t="s">
        <v>1771</v>
      </c>
      <c r="G161" s="54" t="s">
        <v>1677</v>
      </c>
      <c r="H161" s="54" t="s">
        <v>1179</v>
      </c>
      <c r="I161" s="54" t="s">
        <v>1083</v>
      </c>
    </row>
    <row r="162" spans="1:9" ht="13">
      <c r="A162" s="54">
        <v>3</v>
      </c>
      <c r="B162" s="54">
        <v>8</v>
      </c>
      <c r="C162" s="54" t="s">
        <v>1759</v>
      </c>
      <c r="D162" s="54">
        <v>6</v>
      </c>
      <c r="E162" s="54" t="str">
        <f t="shared" si="0"/>
        <v>8::Media – Vector graphics::6::- Complete a summative assessment</v>
      </c>
      <c r="F162" s="54" t="s">
        <v>1772</v>
      </c>
      <c r="G162" s="54" t="s">
        <v>1677</v>
      </c>
      <c r="H162" s="54" t="s">
        <v>1358</v>
      </c>
      <c r="I162" s="54" t="s">
        <v>1083</v>
      </c>
    </row>
    <row r="163" spans="1:9" ht="13">
      <c r="A163" s="54">
        <v>3</v>
      </c>
      <c r="B163" s="54">
        <v>8</v>
      </c>
      <c r="C163" s="54" t="s">
        <v>1773</v>
      </c>
      <c r="D163" s="54">
        <v>1</v>
      </c>
      <c r="E163" s="54" t="str">
        <f t="shared" si="0"/>
        <v>8::Mobile app development::1::- Identify when a problem needs to be broken down</v>
      </c>
      <c r="F163" s="54" t="s">
        <v>1774</v>
      </c>
      <c r="G163" s="54" t="s">
        <v>1775</v>
      </c>
      <c r="H163" s="54" t="s">
        <v>1221</v>
      </c>
      <c r="I163" s="54" t="s">
        <v>1083</v>
      </c>
    </row>
    <row r="164" spans="1:9" ht="13">
      <c r="A164" s="54">
        <v>3</v>
      </c>
      <c r="B164" s="54">
        <v>8</v>
      </c>
      <c r="C164" s="54" t="s">
        <v>1773</v>
      </c>
      <c r="D164" s="54">
        <v>1</v>
      </c>
      <c r="E164" s="54" t="str">
        <f t="shared" si="0"/>
        <v>8::Mobile app development::1::- Implement and customise GUI elements to meet the needs of the user</v>
      </c>
      <c r="F164" s="54" t="s">
        <v>1776</v>
      </c>
      <c r="G164" s="54" t="s">
        <v>1775</v>
      </c>
      <c r="H164" s="54" t="s">
        <v>1777</v>
      </c>
      <c r="I164" s="54" t="s">
        <v>1083</v>
      </c>
    </row>
    <row r="165" spans="1:9" ht="13">
      <c r="A165" s="54">
        <v>3</v>
      </c>
      <c r="B165" s="54">
        <v>8</v>
      </c>
      <c r="C165" s="54" t="s">
        <v>1773</v>
      </c>
      <c r="D165" s="54">
        <v>2</v>
      </c>
      <c r="E165" s="54" t="str">
        <f t="shared" si="0"/>
        <v>8::Mobile app development::2::- Recognise that events can control the flow of a program</v>
      </c>
      <c r="F165" s="54" t="s">
        <v>1778</v>
      </c>
      <c r="G165" s="54" t="s">
        <v>1775</v>
      </c>
      <c r="H165" s="54" t="s">
        <v>27</v>
      </c>
      <c r="I165" s="54" t="s">
        <v>1083</v>
      </c>
    </row>
    <row r="166" spans="1:9" ht="13">
      <c r="A166" s="54">
        <v>3</v>
      </c>
      <c r="B166" s="54">
        <v>8</v>
      </c>
      <c r="C166" s="54" t="s">
        <v>1773</v>
      </c>
      <c r="D166" s="54">
        <v>2</v>
      </c>
      <c r="E166" s="54" t="str">
        <f t="shared" si="0"/>
        <v>8::Mobile app development::2::- Use user input in an event-driven programming environment</v>
      </c>
      <c r="F166" s="54" t="s">
        <v>1779</v>
      </c>
      <c r="G166" s="54" t="s">
        <v>1775</v>
      </c>
      <c r="H166" s="54" t="s">
        <v>1305</v>
      </c>
      <c r="I166" s="54" t="s">
        <v>1083</v>
      </c>
    </row>
    <row r="167" spans="1:9" ht="13">
      <c r="A167" s="54">
        <v>3</v>
      </c>
      <c r="B167" s="54">
        <v>8</v>
      </c>
      <c r="C167" s="54" t="s">
        <v>1773</v>
      </c>
      <c r="D167" s="54">
        <v>2</v>
      </c>
      <c r="E167" s="54" t="str">
        <f t="shared" si="0"/>
        <v>8::Mobile app development::2::- Use variables in an event-driven programming environment</v>
      </c>
      <c r="F167" s="54" t="s">
        <v>1780</v>
      </c>
      <c r="G167" s="54" t="s">
        <v>1775</v>
      </c>
      <c r="H167" s="54" t="s">
        <v>1305</v>
      </c>
      <c r="I167" s="54" t="s">
        <v>1083</v>
      </c>
    </row>
    <row r="168" spans="1:9" ht="13">
      <c r="A168" s="54">
        <v>3</v>
      </c>
      <c r="B168" s="54">
        <v>8</v>
      </c>
      <c r="C168" s="54" t="s">
        <v>1773</v>
      </c>
      <c r="D168" s="54">
        <v>2</v>
      </c>
      <c r="E168" s="54" t="str">
        <f t="shared" si="0"/>
        <v>8::Mobile app development::2::- Develop a partially complete application to include additional functionality</v>
      </c>
      <c r="F168" s="54" t="s">
        <v>1781</v>
      </c>
      <c r="G168" s="54" t="s">
        <v>1775</v>
      </c>
      <c r="H168" s="54" t="s">
        <v>1777</v>
      </c>
      <c r="I168" s="54" t="s">
        <v>1083</v>
      </c>
    </row>
    <row r="169" spans="1:9" ht="13">
      <c r="A169" s="54">
        <v>3</v>
      </c>
      <c r="B169" s="54">
        <v>8</v>
      </c>
      <c r="C169" s="54" t="s">
        <v>1773</v>
      </c>
      <c r="D169" s="54">
        <v>3</v>
      </c>
      <c r="E169" s="54" t="str">
        <f t="shared" si="0"/>
        <v>8::Mobile app development::3::- Identify and fix common coding errors</v>
      </c>
      <c r="F169" s="54" t="s">
        <v>1782</v>
      </c>
      <c r="G169" s="54" t="s">
        <v>1775</v>
      </c>
      <c r="H169" s="54" t="s">
        <v>1305</v>
      </c>
      <c r="I169" s="54" t="s">
        <v>1083</v>
      </c>
    </row>
    <row r="170" spans="1:9" ht="13">
      <c r="A170" s="54">
        <v>3</v>
      </c>
      <c r="B170" s="54">
        <v>8</v>
      </c>
      <c r="C170" s="54" t="s">
        <v>1773</v>
      </c>
      <c r="D170" s="54">
        <v>3</v>
      </c>
      <c r="E170" s="54" t="str">
        <f t="shared" si="0"/>
        <v>8::Mobile app development::3::- Pass the value of a variable into an object</v>
      </c>
      <c r="F170" s="54" t="s">
        <v>1783</v>
      </c>
      <c r="G170" s="54" t="s">
        <v>1775</v>
      </c>
      <c r="H170" s="54" t="s">
        <v>27</v>
      </c>
      <c r="I170" s="54" t="s">
        <v>1083</v>
      </c>
    </row>
    <row r="171" spans="1:9" ht="13">
      <c r="A171" s="54">
        <v>3</v>
      </c>
      <c r="B171" s="54">
        <v>8</v>
      </c>
      <c r="C171" s="54" t="s">
        <v>1773</v>
      </c>
      <c r="D171" s="54">
        <v>3</v>
      </c>
      <c r="E171" s="54" t="str">
        <f t="shared" si="0"/>
        <v>8::Mobile app development::3::- Establish user needs when completing a creative project</v>
      </c>
      <c r="F171" s="54" t="s">
        <v>1784</v>
      </c>
      <c r="G171" s="54" t="s">
        <v>1775</v>
      </c>
      <c r="H171" s="54" t="s">
        <v>15</v>
      </c>
      <c r="I171" s="54" t="s">
        <v>1083</v>
      </c>
    </row>
    <row r="172" spans="1:9" ht="13">
      <c r="A172" s="54">
        <v>3</v>
      </c>
      <c r="B172" s="54">
        <v>8</v>
      </c>
      <c r="C172" s="54" t="s">
        <v>1773</v>
      </c>
      <c r="D172" s="54">
        <v>4</v>
      </c>
      <c r="E172" s="54" t="str">
        <f t="shared" si="0"/>
        <v>8::Mobile app development::4::- Apply decomposition to break down a large problem into more manageable steps</v>
      </c>
      <c r="F172" s="54" t="s">
        <v>1785</v>
      </c>
      <c r="G172" s="54" t="s">
        <v>1775</v>
      </c>
      <c r="H172" s="54" t="s">
        <v>1135</v>
      </c>
      <c r="I172" s="54" t="s">
        <v>1083</v>
      </c>
    </row>
    <row r="173" spans="1:9" ht="13">
      <c r="A173" s="54">
        <v>3</v>
      </c>
      <c r="B173" s="54">
        <v>8</v>
      </c>
      <c r="C173" s="54" t="s">
        <v>1773</v>
      </c>
      <c r="D173" s="54">
        <v>4</v>
      </c>
      <c r="E173" s="54" t="str">
        <f t="shared" si="0"/>
        <v>8::Mobile app development::4::- Use user input in a block-based programming language</v>
      </c>
      <c r="F173" s="54" t="s">
        <v>1786</v>
      </c>
      <c r="G173" s="54" t="s">
        <v>1775</v>
      </c>
      <c r="H173" s="54" t="s">
        <v>1305</v>
      </c>
      <c r="I173" s="54" t="s">
        <v>1083</v>
      </c>
    </row>
    <row r="174" spans="1:9" ht="13">
      <c r="A174" s="54">
        <v>3</v>
      </c>
      <c r="B174" s="54">
        <v>8</v>
      </c>
      <c r="C174" s="54" t="s">
        <v>1773</v>
      </c>
      <c r="D174" s="54">
        <v>4</v>
      </c>
      <c r="E174" s="54" t="str">
        <f t="shared" si="0"/>
        <v>8::Mobile app development::4::- Use a block-based programming language to create a sequence</v>
      </c>
      <c r="F174" s="54" t="s">
        <v>1787</v>
      </c>
      <c r="G174" s="54" t="s">
        <v>1775</v>
      </c>
      <c r="H174" s="54" t="s">
        <v>1305</v>
      </c>
      <c r="I174" s="54" t="s">
        <v>1083</v>
      </c>
    </row>
    <row r="175" spans="1:9" ht="13">
      <c r="A175" s="54">
        <v>3</v>
      </c>
      <c r="B175" s="54">
        <v>8</v>
      </c>
      <c r="C175" s="54" t="s">
        <v>1773</v>
      </c>
      <c r="D175" s="54">
        <v>4</v>
      </c>
      <c r="E175" s="54" t="str">
        <f t="shared" si="0"/>
        <v>8::Mobile app development::4::- Use variables in a block-based programming language</v>
      </c>
      <c r="F175" s="54" t="s">
        <v>1788</v>
      </c>
      <c r="G175" s="54" t="s">
        <v>1775</v>
      </c>
      <c r="H175" s="54" t="s">
        <v>1305</v>
      </c>
      <c r="I175" s="54" t="s">
        <v>1083</v>
      </c>
    </row>
    <row r="176" spans="1:9" ht="13">
      <c r="A176" s="54">
        <v>3</v>
      </c>
      <c r="B176" s="54">
        <v>8</v>
      </c>
      <c r="C176" s="54" t="s">
        <v>1773</v>
      </c>
      <c r="D176" s="54">
        <v>5</v>
      </c>
      <c r="E176" s="54" t="str">
        <f t="shared" si="0"/>
        <v>8::Mobile app development::5::- Use a block-based programming language to include sequencing and selection</v>
      </c>
      <c r="F176" s="54" t="s">
        <v>1789</v>
      </c>
      <c r="G176" s="54" t="s">
        <v>1775</v>
      </c>
      <c r="H176" s="54" t="s">
        <v>1305</v>
      </c>
      <c r="I176" s="54" t="s">
        <v>1083</v>
      </c>
    </row>
    <row r="177" spans="1:9" ht="13">
      <c r="A177" s="54">
        <v>3</v>
      </c>
      <c r="B177" s="54">
        <v>8</v>
      </c>
      <c r="C177" s="54" t="s">
        <v>1773</v>
      </c>
      <c r="D177" s="54">
        <v>5</v>
      </c>
      <c r="E177" s="54" t="str">
        <f t="shared" si="0"/>
        <v>8::Mobile app development::5::- Use user input in a block-based programming language</v>
      </c>
      <c r="F177" s="54" t="s">
        <v>1786</v>
      </c>
      <c r="G177" s="54" t="s">
        <v>1775</v>
      </c>
      <c r="H177" s="54" t="s">
        <v>1305</v>
      </c>
      <c r="I177" s="54" t="s">
        <v>1083</v>
      </c>
    </row>
    <row r="178" spans="1:9" ht="13">
      <c r="A178" s="54">
        <v>3</v>
      </c>
      <c r="B178" s="54">
        <v>8</v>
      </c>
      <c r="C178" s="54" t="s">
        <v>1773</v>
      </c>
      <c r="D178" s="54">
        <v>5</v>
      </c>
      <c r="E178" s="54" t="str">
        <f t="shared" si="0"/>
        <v>8::Mobile app development::5::- Use variables in a block-based programming language</v>
      </c>
      <c r="F178" s="54" t="s">
        <v>1788</v>
      </c>
      <c r="G178" s="54" t="s">
        <v>1775</v>
      </c>
      <c r="H178" s="54" t="s">
        <v>1305</v>
      </c>
      <c r="I178" s="54" t="s">
        <v>1083</v>
      </c>
    </row>
    <row r="179" spans="1:9" ht="13">
      <c r="A179" s="54">
        <v>3</v>
      </c>
      <c r="B179" s="54">
        <v>8</v>
      </c>
      <c r="C179" s="54" t="s">
        <v>1773</v>
      </c>
      <c r="D179" s="54">
        <v>5</v>
      </c>
      <c r="E179" s="54" t="str">
        <f t="shared" si="0"/>
        <v>8::Mobile app development::5::- Reflect and react to user feedback</v>
      </c>
      <c r="F179" s="54" t="s">
        <v>1790</v>
      </c>
      <c r="G179" s="54" t="s">
        <v>1775</v>
      </c>
      <c r="H179" s="54" t="s">
        <v>1150</v>
      </c>
      <c r="I179" s="54" t="s">
        <v>1083</v>
      </c>
    </row>
    <row r="180" spans="1:9" ht="13">
      <c r="A180" s="54">
        <v>3</v>
      </c>
      <c r="B180" s="54">
        <v>8</v>
      </c>
      <c r="C180" s="54" t="s">
        <v>1773</v>
      </c>
      <c r="D180" s="54">
        <v>6</v>
      </c>
      <c r="E180" s="54" t="str">
        <f t="shared" si="0"/>
        <v>8::Mobile app development::6::- Use a block-based programming language to include sequencing and selection</v>
      </c>
      <c r="F180" s="54" t="s">
        <v>1789</v>
      </c>
      <c r="G180" s="54" t="s">
        <v>1775</v>
      </c>
      <c r="H180" s="54" t="s">
        <v>1305</v>
      </c>
      <c r="I180" s="54" t="s">
        <v>1083</v>
      </c>
    </row>
    <row r="181" spans="1:9" ht="13">
      <c r="A181" s="54">
        <v>3</v>
      </c>
      <c r="B181" s="54">
        <v>8</v>
      </c>
      <c r="C181" s="54" t="s">
        <v>1773</v>
      </c>
      <c r="D181" s="54">
        <v>6</v>
      </c>
      <c r="E181" s="54" t="str">
        <f t="shared" si="0"/>
        <v>8::Mobile app development::6::- Use user input in a block-based programming language</v>
      </c>
      <c r="F181" s="54" t="s">
        <v>1786</v>
      </c>
      <c r="G181" s="54" t="s">
        <v>1775</v>
      </c>
      <c r="H181" s="54" t="s">
        <v>1305</v>
      </c>
      <c r="I181" s="54" t="s">
        <v>1083</v>
      </c>
    </row>
    <row r="182" spans="1:9" ht="13">
      <c r="A182" s="54">
        <v>3</v>
      </c>
      <c r="B182" s="54">
        <v>8</v>
      </c>
      <c r="C182" s="54" t="s">
        <v>1773</v>
      </c>
      <c r="D182" s="54">
        <v>6</v>
      </c>
      <c r="E182" s="54" t="str">
        <f t="shared" si="0"/>
        <v>8::Mobile app development::6::- Use variables in a block-based programming language</v>
      </c>
      <c r="F182" s="54" t="s">
        <v>1788</v>
      </c>
      <c r="G182" s="54" t="s">
        <v>1775</v>
      </c>
      <c r="H182" s="54" t="s">
        <v>1305</v>
      </c>
      <c r="I182" s="54" t="s">
        <v>1083</v>
      </c>
    </row>
    <row r="183" spans="1:9" ht="13">
      <c r="A183" s="54">
        <v>3</v>
      </c>
      <c r="B183" s="54">
        <v>8</v>
      </c>
      <c r="C183" s="54" t="s">
        <v>1773</v>
      </c>
      <c r="D183" s="54">
        <v>6</v>
      </c>
      <c r="E183" s="54" t="str">
        <f t="shared" si="0"/>
        <v>8::Mobile app development::6::- Evaluate the success of the programming project</v>
      </c>
      <c r="F183" s="54" t="s">
        <v>1791</v>
      </c>
      <c r="G183" s="54" t="s">
        <v>1775</v>
      </c>
      <c r="H183" s="54" t="s">
        <v>1150</v>
      </c>
      <c r="I183" s="54" t="s">
        <v>1083</v>
      </c>
    </row>
    <row r="184" spans="1:9" ht="13">
      <c r="A184" s="54">
        <v>3</v>
      </c>
      <c r="B184" s="54">
        <v>8</v>
      </c>
      <c r="C184" s="54" t="s">
        <v>1792</v>
      </c>
      <c r="D184" s="54">
        <v>1</v>
      </c>
      <c r="E184" s="54" t="str">
        <f t="shared" si="0"/>
        <v>8::Representations – from clay to silicon::1::- List examples of representations</v>
      </c>
      <c r="F184" s="54" t="s">
        <v>1793</v>
      </c>
      <c r="G184" s="54">
        <v>3.6</v>
      </c>
      <c r="H184" s="54" t="s">
        <v>12</v>
      </c>
      <c r="I184" s="54" t="s">
        <v>1083</v>
      </c>
    </row>
    <row r="185" spans="1:9" ht="13">
      <c r="A185" s="54">
        <v>3</v>
      </c>
      <c r="B185" s="54">
        <v>8</v>
      </c>
      <c r="C185" s="54" t="s">
        <v>1792</v>
      </c>
      <c r="D185" s="54">
        <v>1</v>
      </c>
      <c r="E185" s="54" t="str">
        <f t="shared" si="0"/>
        <v>8::Representations – from clay to silicon::1::- Recall that representations are used to store, communicate, and process information</v>
      </c>
      <c r="F185" s="54" t="s">
        <v>1794</v>
      </c>
      <c r="G185" s="54">
        <v>3.6</v>
      </c>
      <c r="H185" s="54" t="s">
        <v>12</v>
      </c>
      <c r="I185" s="54" t="s">
        <v>1083</v>
      </c>
    </row>
    <row r="186" spans="1:9" ht="13">
      <c r="A186" s="54">
        <v>3</v>
      </c>
      <c r="B186" s="54">
        <v>8</v>
      </c>
      <c r="C186" s="54" t="s">
        <v>1792</v>
      </c>
      <c r="D186" s="54">
        <v>1</v>
      </c>
      <c r="E186" s="54" t="str">
        <f t="shared" si="0"/>
        <v>8::Representations – from clay to silicon::1::- Provide examples of how different representations are appropriate for different tasks</v>
      </c>
      <c r="F186" s="54" t="s">
        <v>1795</v>
      </c>
      <c r="G186" s="54">
        <v>3.6</v>
      </c>
      <c r="H186" s="54" t="s">
        <v>12</v>
      </c>
      <c r="I186" s="54" t="s">
        <v>1083</v>
      </c>
    </row>
    <row r="187" spans="1:9" ht="13">
      <c r="A187" s="54">
        <v>3</v>
      </c>
      <c r="B187" s="54">
        <v>8</v>
      </c>
      <c r="C187" s="54" t="s">
        <v>1792</v>
      </c>
      <c r="D187" s="54">
        <v>2</v>
      </c>
      <c r="E187" s="54" t="str">
        <f t="shared" si="0"/>
        <v>8::Representations – from clay to silicon::2::- Recall that characters can be represented as sequences of symbols and list examples of character coding schemes</v>
      </c>
      <c r="F187" s="54" t="s">
        <v>1796</v>
      </c>
      <c r="G187" s="54">
        <v>3.6</v>
      </c>
      <c r="H187" s="54" t="s">
        <v>12</v>
      </c>
      <c r="I187" s="54" t="s">
        <v>1083</v>
      </c>
    </row>
    <row r="188" spans="1:9" ht="13">
      <c r="A188" s="54">
        <v>3</v>
      </c>
      <c r="B188" s="54">
        <v>8</v>
      </c>
      <c r="C188" s="54" t="s">
        <v>1792</v>
      </c>
      <c r="D188" s="54">
        <v>2</v>
      </c>
      <c r="E188" s="54" t="str">
        <f t="shared" si="0"/>
        <v>8::Representations – from clay to silicon::2::- Measure the length of a representation as the number of symbols that it contains</v>
      </c>
      <c r="F188" s="54" t="s">
        <v>1797</v>
      </c>
      <c r="G188" s="54">
        <v>3.6</v>
      </c>
      <c r="H188" s="54" t="s">
        <v>12</v>
      </c>
      <c r="I188" s="54" t="s">
        <v>1083</v>
      </c>
    </row>
    <row r="189" spans="1:9" ht="13">
      <c r="A189" s="54">
        <v>3</v>
      </c>
      <c r="B189" s="54">
        <v>8</v>
      </c>
      <c r="C189" s="54" t="s">
        <v>1792</v>
      </c>
      <c r="D189" s="54">
        <v>2</v>
      </c>
      <c r="E189" s="54" t="str">
        <f t="shared" si="0"/>
        <v>8::Representations – from clay to silicon::2::- Provide examples of how symbols are carried on physical media</v>
      </c>
      <c r="F189" s="54" t="s">
        <v>1798</v>
      </c>
      <c r="G189" s="54">
        <v>3.6</v>
      </c>
      <c r="H189" s="54" t="s">
        <v>1352</v>
      </c>
      <c r="I189" s="54" t="s">
        <v>1083</v>
      </c>
    </row>
    <row r="190" spans="1:9" ht="13">
      <c r="A190" s="54">
        <v>3</v>
      </c>
      <c r="B190" s="54">
        <v>8</v>
      </c>
      <c r="C190" s="54" t="s">
        <v>1792</v>
      </c>
      <c r="D190" s="54">
        <v>3</v>
      </c>
      <c r="E190" s="54" t="str">
        <f t="shared" si="0"/>
        <v>8::Representations – from clay to silicon::3::- Explain what binary digits (bits) are, in terms of familiar symbols such as digits or letters</v>
      </c>
      <c r="F190" s="54" t="s">
        <v>1799</v>
      </c>
      <c r="G190" s="54">
        <v>3.6</v>
      </c>
      <c r="H190" s="54" t="s">
        <v>12</v>
      </c>
      <c r="I190" s="54" t="s">
        <v>1083</v>
      </c>
    </row>
    <row r="191" spans="1:9" ht="13">
      <c r="A191" s="54">
        <v>3</v>
      </c>
      <c r="B191" s="54">
        <v>8</v>
      </c>
      <c r="C191" s="54" t="s">
        <v>1792</v>
      </c>
      <c r="D191" s="54">
        <v>3</v>
      </c>
      <c r="E191" s="54" t="str">
        <f t="shared" si="0"/>
        <v>8::Representations – from clay to silicon::3::- Measure the size or length of a sequence of bits as the number of binary digits that it contains</v>
      </c>
      <c r="F191" s="54" t="s">
        <v>1800</v>
      </c>
      <c r="G191" s="54">
        <v>3.6</v>
      </c>
      <c r="H191" s="54" t="s">
        <v>12</v>
      </c>
      <c r="I191" s="54" t="s">
        <v>1083</v>
      </c>
    </row>
    <row r="192" spans="1:9" ht="13">
      <c r="A192" s="54">
        <v>3</v>
      </c>
      <c r="B192" s="54">
        <v>8</v>
      </c>
      <c r="C192" s="54" t="s">
        <v>1792</v>
      </c>
      <c r="D192" s="54">
        <v>4</v>
      </c>
      <c r="E192" s="54" t="str">
        <f t="shared" si="0"/>
        <v>8::Representations – from clay to silicon::4::- Describe how natural numbers are represented as sequences of binary digits</v>
      </c>
      <c r="F192" s="54" t="s">
        <v>1801</v>
      </c>
      <c r="G192" s="54">
        <v>3.6</v>
      </c>
      <c r="H192" s="54" t="s">
        <v>12</v>
      </c>
      <c r="I192" s="54" t="s">
        <v>1083</v>
      </c>
    </row>
    <row r="193" spans="1:9" ht="13">
      <c r="A193" s="54">
        <v>3</v>
      </c>
      <c r="B193" s="54">
        <v>8</v>
      </c>
      <c r="C193" s="54" t="s">
        <v>1792</v>
      </c>
      <c r="D193" s="54">
        <v>4</v>
      </c>
      <c r="E193" s="54" t="str">
        <f t="shared" si="0"/>
        <v>8::Representations – from clay to silicon::4::- Convert a decimal number to binary and vice versa</v>
      </c>
      <c r="F193" s="54" t="s">
        <v>1802</v>
      </c>
      <c r="G193" s="54">
        <v>3.6</v>
      </c>
      <c r="H193" s="54" t="s">
        <v>12</v>
      </c>
      <c r="I193" s="54" t="s">
        <v>1083</v>
      </c>
    </row>
    <row r="194" spans="1:9" ht="13">
      <c r="A194" s="54">
        <v>3</v>
      </c>
      <c r="B194" s="54">
        <v>8</v>
      </c>
      <c r="C194" s="54" t="s">
        <v>1792</v>
      </c>
      <c r="D194" s="54">
        <v>5</v>
      </c>
      <c r="E194" s="54" t="str">
        <f t="shared" si="0"/>
        <v>8::Representations – from clay to silicon::5::- Convert between different units and multiples of representation size</v>
      </c>
      <c r="F194" s="54" t="s">
        <v>1803</v>
      </c>
      <c r="G194" s="54">
        <v>3.6</v>
      </c>
      <c r="H194" s="54" t="s">
        <v>12</v>
      </c>
      <c r="I194" s="54" t="s">
        <v>1083</v>
      </c>
    </row>
    <row r="195" spans="1:9" ht="13">
      <c r="A195" s="54">
        <v>3</v>
      </c>
      <c r="B195" s="54">
        <v>8</v>
      </c>
      <c r="C195" s="54" t="s">
        <v>1792</v>
      </c>
      <c r="D195" s="54">
        <v>5</v>
      </c>
      <c r="E195" s="54" t="str">
        <f t="shared" si="0"/>
        <v>8::Representations – from clay to silicon::5::- Provide examples of the different ways that binary digits are physically represented in digital devices</v>
      </c>
      <c r="F195" s="54" t="s">
        <v>1804</v>
      </c>
      <c r="G195" s="54">
        <v>3.6</v>
      </c>
      <c r="H195" s="54" t="s">
        <v>1352</v>
      </c>
      <c r="I195" s="54" t="s">
        <v>1083</v>
      </c>
    </row>
    <row r="196" spans="1:9" ht="13">
      <c r="A196" s="54">
        <v>3</v>
      </c>
      <c r="B196" s="54">
        <v>8</v>
      </c>
      <c r="C196" s="54" t="s">
        <v>1792</v>
      </c>
      <c r="D196" s="54">
        <v>6</v>
      </c>
      <c r="E196" s="54" t="str">
        <f t="shared" si="0"/>
        <v>8::Representations – from clay to silicon::6::- Apply all of the skills covered in this unit</v>
      </c>
      <c r="F196" s="54" t="s">
        <v>1805</v>
      </c>
      <c r="G196" s="54">
        <v>3.6</v>
      </c>
      <c r="H196" s="54" t="s">
        <v>1352</v>
      </c>
      <c r="I196" s="54" t="s">
        <v>1083</v>
      </c>
    </row>
    <row r="197" spans="1:9" ht="13">
      <c r="A197" s="54">
        <v>3</v>
      </c>
      <c r="B197" s="54">
        <v>9</v>
      </c>
      <c r="C197" s="54" t="s">
        <v>524</v>
      </c>
      <c r="D197" s="54">
        <v>1</v>
      </c>
      <c r="E197" s="54" t="str">
        <f t="shared" si="0"/>
        <v>9::Cybersecurity::1::- Explain the difference between data and information</v>
      </c>
      <c r="F197" s="54" t="s">
        <v>1613</v>
      </c>
      <c r="G197" s="54">
        <v>3.9</v>
      </c>
      <c r="H197" s="54" t="s">
        <v>12</v>
      </c>
      <c r="I197" s="54" t="s">
        <v>1806</v>
      </c>
    </row>
    <row r="198" spans="1:9" ht="13">
      <c r="A198" s="54">
        <v>3</v>
      </c>
      <c r="B198" s="54">
        <v>9</v>
      </c>
      <c r="C198" s="54" t="s">
        <v>524</v>
      </c>
      <c r="D198" s="54">
        <v>1</v>
      </c>
      <c r="E198" s="54" t="str">
        <f t="shared" si="0"/>
        <v>9::Cybersecurity::1::- Critique online services in relation to data privacy</v>
      </c>
      <c r="F198" s="54" t="s">
        <v>1807</v>
      </c>
      <c r="G198" s="54">
        <v>3.9</v>
      </c>
      <c r="H198" s="54" t="s">
        <v>1808</v>
      </c>
      <c r="I198" s="54" t="s">
        <v>1806</v>
      </c>
    </row>
    <row r="199" spans="1:9" ht="13">
      <c r="A199" s="54">
        <v>3</v>
      </c>
      <c r="B199" s="54">
        <v>9</v>
      </c>
      <c r="C199" s="54" t="s">
        <v>524</v>
      </c>
      <c r="D199" s="54">
        <v>1</v>
      </c>
      <c r="E199" s="54" t="str">
        <f t="shared" si="0"/>
        <v>9::Cybersecurity::1::- Identify what happens to data entered online</v>
      </c>
      <c r="F199" s="54" t="s">
        <v>1809</v>
      </c>
      <c r="G199" s="54">
        <v>3.9</v>
      </c>
      <c r="H199" s="54" t="s">
        <v>1810</v>
      </c>
      <c r="I199" s="54" t="s">
        <v>1806</v>
      </c>
    </row>
    <row r="200" spans="1:9" ht="13">
      <c r="A200" s="54">
        <v>3</v>
      </c>
      <c r="B200" s="54">
        <v>9</v>
      </c>
      <c r="C200" s="54" t="s">
        <v>524</v>
      </c>
      <c r="D200" s="54">
        <v>1</v>
      </c>
      <c r="E200" s="54" t="str">
        <f t="shared" si="0"/>
        <v>9::Cybersecurity::1::- Explain the need for the Data Protection Act</v>
      </c>
      <c r="F200" s="54" t="s">
        <v>1811</v>
      </c>
      <c r="G200" s="54">
        <v>3.9</v>
      </c>
      <c r="H200" s="54" t="s">
        <v>1812</v>
      </c>
      <c r="I200" s="54" t="s">
        <v>1806</v>
      </c>
    </row>
    <row r="201" spans="1:9" ht="13">
      <c r="A201" s="54">
        <v>3</v>
      </c>
      <c r="B201" s="54">
        <v>9</v>
      </c>
      <c r="C201" s="54" t="s">
        <v>524</v>
      </c>
      <c r="D201" s="54">
        <v>2</v>
      </c>
      <c r="E201" s="54" t="str">
        <f t="shared" si="0"/>
        <v>9::Cybersecurity::2::- Recognise how human errors pose security risks to data</v>
      </c>
      <c r="F201" s="54" t="s">
        <v>1813</v>
      </c>
      <c r="G201" s="54">
        <v>3.9</v>
      </c>
      <c r="H201" s="54" t="s">
        <v>1814</v>
      </c>
      <c r="I201" s="54" t="s">
        <v>1806</v>
      </c>
    </row>
    <row r="202" spans="1:9" ht="13">
      <c r="A202" s="54">
        <v>3</v>
      </c>
      <c r="B202" s="54">
        <v>9</v>
      </c>
      <c r="C202" s="54" t="s">
        <v>524</v>
      </c>
      <c r="D202" s="54">
        <v>2</v>
      </c>
      <c r="E202" s="54" t="str">
        <f t="shared" si="0"/>
        <v>9::Cybersecurity::2::- Implement strategies to minimise the risk of data being compromised through human error</v>
      </c>
      <c r="F202" s="54" t="s">
        <v>1815</v>
      </c>
      <c r="G202" s="54">
        <v>3.9</v>
      </c>
      <c r="H202" s="54" t="s">
        <v>1814</v>
      </c>
      <c r="I202" s="54" t="s">
        <v>1806</v>
      </c>
    </row>
    <row r="203" spans="1:9" ht="13">
      <c r="A203" s="54">
        <v>3</v>
      </c>
      <c r="B203" s="54">
        <v>9</v>
      </c>
      <c r="C203" s="54" t="s">
        <v>524</v>
      </c>
      <c r="D203" s="54">
        <v>3</v>
      </c>
      <c r="E203" s="54" t="str">
        <f t="shared" si="0"/>
        <v>9::Cybersecurity::3::- Define hacking in the context of cyber security</v>
      </c>
      <c r="F203" s="54" t="s">
        <v>1816</v>
      </c>
      <c r="G203" s="54">
        <v>3.9</v>
      </c>
      <c r="H203" s="54" t="s">
        <v>1817</v>
      </c>
      <c r="I203" s="54" t="s">
        <v>1806</v>
      </c>
    </row>
    <row r="204" spans="1:9" ht="13">
      <c r="A204" s="54">
        <v>3</v>
      </c>
      <c r="B204" s="54">
        <v>9</v>
      </c>
      <c r="C204" s="54" t="s">
        <v>524</v>
      </c>
      <c r="D204" s="54">
        <v>3</v>
      </c>
      <c r="E204" s="54" t="str">
        <f t="shared" si="0"/>
        <v>9::Cybersecurity::3::- Explain how a DDoS attack can impact users of online services</v>
      </c>
      <c r="F204" s="54" t="s">
        <v>1818</v>
      </c>
      <c r="G204" s="54">
        <v>3.9</v>
      </c>
      <c r="H204" s="54" t="s">
        <v>1347</v>
      </c>
      <c r="I204" s="54" t="s">
        <v>1806</v>
      </c>
    </row>
    <row r="205" spans="1:9" ht="13">
      <c r="A205" s="54">
        <v>3</v>
      </c>
      <c r="B205" s="54">
        <v>9</v>
      </c>
      <c r="C205" s="54" t="s">
        <v>524</v>
      </c>
      <c r="D205" s="54">
        <v>3</v>
      </c>
      <c r="E205" s="54" t="str">
        <f t="shared" si="0"/>
        <v>9::Cybersecurity::3::- Identify strategies to reduce the chance of a brute force attack being successful</v>
      </c>
      <c r="F205" s="54" t="s">
        <v>1819</v>
      </c>
      <c r="G205" s="54">
        <v>3.9</v>
      </c>
      <c r="H205" s="54" t="s">
        <v>1820</v>
      </c>
      <c r="I205" s="54" t="s">
        <v>1806</v>
      </c>
    </row>
    <row r="206" spans="1:9" ht="13">
      <c r="A206" s="54">
        <v>3</v>
      </c>
      <c r="B206" s="54">
        <v>9</v>
      </c>
      <c r="C206" s="54" t="s">
        <v>524</v>
      </c>
      <c r="D206" s="54">
        <v>3</v>
      </c>
      <c r="E206" s="54" t="str">
        <f t="shared" si="0"/>
        <v>9::Cybersecurity::3::- Explain the need for the Computer Misuse Act</v>
      </c>
      <c r="F206" s="54" t="s">
        <v>1821</v>
      </c>
      <c r="G206" s="54">
        <v>3.9</v>
      </c>
      <c r="H206" s="54" t="s">
        <v>1604</v>
      </c>
      <c r="I206" s="54" t="s">
        <v>1806</v>
      </c>
    </row>
    <row r="207" spans="1:9" ht="13">
      <c r="A207" s="54">
        <v>3</v>
      </c>
      <c r="B207" s="54">
        <v>9</v>
      </c>
      <c r="C207" s="54" t="s">
        <v>524</v>
      </c>
      <c r="D207" s="54">
        <v>4</v>
      </c>
      <c r="E207" s="54" t="str">
        <f t="shared" si="0"/>
        <v>9::Cybersecurity::4::- List the common malware threats</v>
      </c>
      <c r="F207" s="54" t="s">
        <v>1822</v>
      </c>
      <c r="G207" s="54">
        <v>3.9</v>
      </c>
      <c r="H207" s="54" t="s">
        <v>1823</v>
      </c>
      <c r="I207" s="54" t="s">
        <v>1806</v>
      </c>
    </row>
    <row r="208" spans="1:9" ht="13">
      <c r="A208" s="54">
        <v>3</v>
      </c>
      <c r="B208" s="54">
        <v>9</v>
      </c>
      <c r="C208" s="54" t="s">
        <v>524</v>
      </c>
      <c r="D208" s="54">
        <v>4</v>
      </c>
      <c r="E208" s="54" t="str">
        <f t="shared" si="0"/>
        <v>9::Cybersecurity::4::- Examine how different types of malware causes problems for computer systems</v>
      </c>
      <c r="F208" s="54" t="s">
        <v>1824</v>
      </c>
      <c r="G208" s="54">
        <v>3.9</v>
      </c>
      <c r="H208" s="54" t="s">
        <v>1823</v>
      </c>
      <c r="I208" s="54" t="s">
        <v>1806</v>
      </c>
    </row>
    <row r="209" spans="1:9" ht="13">
      <c r="A209" s="54">
        <v>3</v>
      </c>
      <c r="B209" s="54">
        <v>9</v>
      </c>
      <c r="C209" s="54" t="s">
        <v>524</v>
      </c>
      <c r="D209" s="54">
        <v>4</v>
      </c>
      <c r="E209" s="54" t="str">
        <f t="shared" si="0"/>
        <v>9::Cybersecurity::4::- Question how malicious bots can have an impact on societal issues</v>
      </c>
      <c r="F209" s="54" t="s">
        <v>1825</v>
      </c>
      <c r="G209" s="54">
        <v>3.9</v>
      </c>
      <c r="H209" s="54" t="s">
        <v>21</v>
      </c>
      <c r="I209" s="54" t="s">
        <v>1806</v>
      </c>
    </row>
    <row r="210" spans="1:9" ht="13">
      <c r="A210" s="54">
        <v>3</v>
      </c>
      <c r="B210" s="54">
        <v>9</v>
      </c>
      <c r="C210" s="54" t="s">
        <v>524</v>
      </c>
      <c r="D210" s="54">
        <v>5</v>
      </c>
      <c r="E210" s="54" t="str">
        <f t="shared" si="0"/>
        <v>9::Cybersecurity::5::- Compare security threats against probability and the potential impact to organisations</v>
      </c>
      <c r="F210" s="54" t="s">
        <v>1826</v>
      </c>
      <c r="G210" s="54">
        <v>3.9</v>
      </c>
      <c r="H210" s="54" t="s">
        <v>1604</v>
      </c>
      <c r="I210" s="54" t="s">
        <v>1806</v>
      </c>
    </row>
    <row r="211" spans="1:9" ht="13">
      <c r="A211" s="54">
        <v>3</v>
      </c>
      <c r="B211" s="54">
        <v>9</v>
      </c>
      <c r="C211" s="54" t="s">
        <v>524</v>
      </c>
      <c r="D211" s="54">
        <v>5</v>
      </c>
      <c r="E211" s="54" t="str">
        <f t="shared" si="0"/>
        <v>9::Cybersecurity::5::- Explain how networks can be protected from common security threats</v>
      </c>
      <c r="F211" s="54" t="s">
        <v>1827</v>
      </c>
      <c r="G211" s="54">
        <v>3.9</v>
      </c>
      <c r="H211" s="54" t="s">
        <v>1334</v>
      </c>
      <c r="I211" s="54" t="s">
        <v>1806</v>
      </c>
    </row>
    <row r="212" spans="1:9" ht="13">
      <c r="A212" s="54">
        <v>3</v>
      </c>
      <c r="B212" s="54">
        <v>9</v>
      </c>
      <c r="C212" s="54" t="s">
        <v>524</v>
      </c>
      <c r="D212" s="54">
        <v>6</v>
      </c>
      <c r="E212" s="54" t="str">
        <f t="shared" si="0"/>
        <v>9::Cybersecurity::6::- Identify the most effective methods to prevent cyberattacks</v>
      </c>
      <c r="F212" s="54" t="s">
        <v>1828</v>
      </c>
      <c r="G212" s="54">
        <v>3.9</v>
      </c>
      <c r="H212" s="54" t="s">
        <v>1596</v>
      </c>
      <c r="I212" s="54" t="s">
        <v>1806</v>
      </c>
    </row>
    <row r="213" spans="1:9" ht="13">
      <c r="A213" s="54">
        <v>3</v>
      </c>
      <c r="B213" s="54">
        <v>9</v>
      </c>
      <c r="C213" s="54" t="s">
        <v>1829</v>
      </c>
      <c r="D213" s="54">
        <v>1</v>
      </c>
      <c r="E213" s="54" t="str">
        <f t="shared" si="0"/>
        <v>9::Data science::1::- Define data science</v>
      </c>
      <c r="F213" s="54" t="s">
        <v>1830</v>
      </c>
      <c r="G213" s="54">
        <v>3.7</v>
      </c>
      <c r="H213" s="54" t="s">
        <v>12</v>
      </c>
      <c r="I213" s="54" t="s">
        <v>1083</v>
      </c>
    </row>
    <row r="214" spans="1:9" ht="13">
      <c r="A214" s="54">
        <v>3</v>
      </c>
      <c r="B214" s="54">
        <v>9</v>
      </c>
      <c r="C214" s="54" t="s">
        <v>1829</v>
      </c>
      <c r="D214" s="54">
        <v>1</v>
      </c>
      <c r="E214" s="54" t="str">
        <f t="shared" si="0"/>
        <v>9::Data science::1::- Explain how visualising data can help identify patterns and trends in order to help us gain insights</v>
      </c>
      <c r="F214" s="54" t="s">
        <v>1831</v>
      </c>
      <c r="G214" s="54">
        <v>3.7</v>
      </c>
      <c r="H214" s="54" t="s">
        <v>12</v>
      </c>
      <c r="I214" s="54" t="s">
        <v>1083</v>
      </c>
    </row>
    <row r="215" spans="1:9" ht="13">
      <c r="A215" s="54">
        <v>3</v>
      </c>
      <c r="B215" s="54">
        <v>9</v>
      </c>
      <c r="C215" s="54" t="s">
        <v>1829</v>
      </c>
      <c r="D215" s="54">
        <v>1</v>
      </c>
      <c r="E215" s="54" t="str">
        <f t="shared" si="0"/>
        <v>9::Data science::1::- Use an appropriate software tool to visualise data sets and look for patterns or trends</v>
      </c>
      <c r="F215" s="54" t="s">
        <v>1832</v>
      </c>
      <c r="G215" s="54">
        <v>3.7</v>
      </c>
      <c r="H215" s="54" t="s">
        <v>1204</v>
      </c>
      <c r="I215" s="54" t="s">
        <v>1083</v>
      </c>
    </row>
    <row r="216" spans="1:9" ht="13">
      <c r="A216" s="54">
        <v>3</v>
      </c>
      <c r="B216" s="54">
        <v>9</v>
      </c>
      <c r="C216" s="54" t="s">
        <v>1829</v>
      </c>
      <c r="D216" s="54">
        <v>2</v>
      </c>
      <c r="E216" s="54" t="str">
        <f t="shared" si="0"/>
        <v>9::Data science::2::- Recognise examples of where large data sets are used in daily life</v>
      </c>
      <c r="F216" s="54" t="s">
        <v>1833</v>
      </c>
      <c r="G216" s="54">
        <v>3.7</v>
      </c>
      <c r="H216" s="54" t="s">
        <v>1834</v>
      </c>
      <c r="I216" s="54" t="s">
        <v>1083</v>
      </c>
    </row>
    <row r="217" spans="1:9" ht="13">
      <c r="A217" s="54">
        <v>3</v>
      </c>
      <c r="B217" s="54">
        <v>9</v>
      </c>
      <c r="C217" s="54" t="s">
        <v>1829</v>
      </c>
      <c r="D217" s="54">
        <v>2</v>
      </c>
      <c r="E217" s="54" t="str">
        <f t="shared" si="0"/>
        <v>9::Data science::2::- Select criteria and use data set to investigate predictions</v>
      </c>
      <c r="F217" s="54" t="s">
        <v>1835</v>
      </c>
      <c r="G217" s="54">
        <v>3.7</v>
      </c>
      <c r="H217" s="54" t="s">
        <v>1300</v>
      </c>
      <c r="I217" s="54" t="s">
        <v>1083</v>
      </c>
    </row>
    <row r="218" spans="1:9" ht="13">
      <c r="A218" s="54">
        <v>3</v>
      </c>
      <c r="B218" s="54">
        <v>9</v>
      </c>
      <c r="C218" s="54" t="s">
        <v>1829</v>
      </c>
      <c r="D218" s="54">
        <v>2</v>
      </c>
      <c r="E218" s="54" t="str">
        <f t="shared" si="0"/>
        <v>9::Data science::2::- Evaluate findings to support arguments for or against a prediction</v>
      </c>
      <c r="F218" s="54" t="s">
        <v>1836</v>
      </c>
      <c r="G218" s="54">
        <v>3.7</v>
      </c>
      <c r="H218" s="54" t="s">
        <v>1300</v>
      </c>
      <c r="I218" s="54" t="s">
        <v>1083</v>
      </c>
    </row>
    <row r="219" spans="1:9" ht="13">
      <c r="A219" s="54">
        <v>3</v>
      </c>
      <c r="B219" s="54">
        <v>9</v>
      </c>
      <c r="C219" s="54" t="s">
        <v>1829</v>
      </c>
      <c r="D219" s="54">
        <v>3</v>
      </c>
      <c r="E219" s="54" t="str">
        <f t="shared" si="0"/>
        <v>9::Data science::3::- Define the terms ‘correlation’ and ‘outliers’ in relation to data trends</v>
      </c>
      <c r="F219" s="54" t="s">
        <v>1837</v>
      </c>
      <c r="G219" s="54">
        <v>3.7</v>
      </c>
      <c r="H219" s="54" t="s">
        <v>12</v>
      </c>
      <c r="I219" s="54" t="s">
        <v>1083</v>
      </c>
    </row>
    <row r="220" spans="1:9" ht="13">
      <c r="A220" s="54">
        <v>3</v>
      </c>
      <c r="B220" s="54">
        <v>9</v>
      </c>
      <c r="C220" s="54" t="s">
        <v>1829</v>
      </c>
      <c r="D220" s="54">
        <v>3</v>
      </c>
      <c r="E220" s="54" t="str">
        <f t="shared" si="0"/>
        <v>9::Data science::3::- Identify the steps of the investigative cycle</v>
      </c>
      <c r="F220" s="54" t="s">
        <v>1838</v>
      </c>
      <c r="G220" s="54">
        <v>3.7</v>
      </c>
      <c r="H220" s="54" t="s">
        <v>1300</v>
      </c>
      <c r="I220" s="54" t="s">
        <v>1083</v>
      </c>
    </row>
    <row r="221" spans="1:9" ht="13">
      <c r="A221" s="54">
        <v>3</v>
      </c>
      <c r="B221" s="54">
        <v>9</v>
      </c>
      <c r="C221" s="54" t="s">
        <v>1829</v>
      </c>
      <c r="D221" s="54">
        <v>3</v>
      </c>
      <c r="E221" s="54" t="str">
        <f t="shared" si="0"/>
        <v>9::Data science::3::- Solve a problem by implementing steps of the investigative cycle on a data set</v>
      </c>
      <c r="F221" s="54" t="s">
        <v>1839</v>
      </c>
      <c r="G221" s="54">
        <v>3.7</v>
      </c>
      <c r="H221" s="54" t="s">
        <v>1300</v>
      </c>
      <c r="I221" s="54" t="s">
        <v>1083</v>
      </c>
    </row>
    <row r="222" spans="1:9" ht="13">
      <c r="A222" s="54">
        <v>3</v>
      </c>
      <c r="B222" s="54">
        <v>9</v>
      </c>
      <c r="C222" s="54" t="s">
        <v>1829</v>
      </c>
      <c r="D222" s="54">
        <v>3</v>
      </c>
      <c r="E222" s="54" t="str">
        <f t="shared" si="0"/>
        <v>9::Data science::3::- Use findings to support a recommendation</v>
      </c>
      <c r="F222" s="54" t="s">
        <v>1840</v>
      </c>
      <c r="G222" s="54">
        <v>3.7</v>
      </c>
      <c r="H222" s="54" t="s">
        <v>1834</v>
      </c>
      <c r="I222" s="54" t="s">
        <v>1083</v>
      </c>
    </row>
    <row r="223" spans="1:9" ht="13">
      <c r="A223" s="54">
        <v>3</v>
      </c>
      <c r="B223" s="54">
        <v>9</v>
      </c>
      <c r="C223" s="54" t="s">
        <v>1829</v>
      </c>
      <c r="D223" s="54">
        <v>4</v>
      </c>
      <c r="E223" s="54" t="str">
        <f t="shared" si="0"/>
        <v>9::Data science::4::- Identify the steps of the investigative cycle</v>
      </c>
      <c r="F223" s="54" t="s">
        <v>1838</v>
      </c>
      <c r="G223" s="54">
        <v>3.7</v>
      </c>
      <c r="H223" s="54" t="s">
        <v>31</v>
      </c>
      <c r="I223" s="54" t="s">
        <v>1083</v>
      </c>
    </row>
    <row r="224" spans="1:9" ht="13">
      <c r="A224" s="54">
        <v>3</v>
      </c>
      <c r="B224" s="54">
        <v>9</v>
      </c>
      <c r="C224" s="54" t="s">
        <v>1829</v>
      </c>
      <c r="D224" s="54">
        <v>4</v>
      </c>
      <c r="E224" s="54" t="str">
        <f t="shared" si="0"/>
        <v>9::Data science::4::- Identify the data needed to answer a question defined by the learner</v>
      </c>
      <c r="F224" s="54" t="s">
        <v>1841</v>
      </c>
      <c r="G224" s="54">
        <v>3.7</v>
      </c>
      <c r="H224" s="54" t="s">
        <v>1300</v>
      </c>
      <c r="I224" s="54" t="s">
        <v>1083</v>
      </c>
    </row>
    <row r="225" spans="1:9" ht="13">
      <c r="A225" s="54">
        <v>3</v>
      </c>
      <c r="B225" s="54">
        <v>9</v>
      </c>
      <c r="C225" s="54" t="s">
        <v>1829</v>
      </c>
      <c r="D225" s="54">
        <v>4</v>
      </c>
      <c r="E225" s="54" t="str">
        <f t="shared" si="0"/>
        <v>9::Data science::4::- Create a data capture form</v>
      </c>
      <c r="F225" s="54" t="s">
        <v>1842</v>
      </c>
      <c r="G225" s="54">
        <v>3.7</v>
      </c>
      <c r="H225" s="54" t="s">
        <v>1193</v>
      </c>
      <c r="I225" s="54" t="s">
        <v>1083</v>
      </c>
    </row>
    <row r="226" spans="1:9" ht="13">
      <c r="A226" s="54">
        <v>3</v>
      </c>
      <c r="B226" s="54">
        <v>9</v>
      </c>
      <c r="C226" s="54" t="s">
        <v>1829</v>
      </c>
      <c r="D226" s="54">
        <v>5</v>
      </c>
      <c r="E226" s="54" t="str">
        <f t="shared" si="0"/>
        <v>9::Data science::5::- Describe the need for data cleansing</v>
      </c>
      <c r="F226" s="54" t="s">
        <v>1843</v>
      </c>
      <c r="G226" s="54">
        <v>3.7</v>
      </c>
      <c r="H226" s="54" t="s">
        <v>1204</v>
      </c>
      <c r="I226" s="54" t="s">
        <v>1083</v>
      </c>
    </row>
    <row r="227" spans="1:9" ht="13">
      <c r="A227" s="54">
        <v>3</v>
      </c>
      <c r="B227" s="54">
        <v>9</v>
      </c>
      <c r="C227" s="54" t="s">
        <v>1829</v>
      </c>
      <c r="D227" s="54">
        <v>5</v>
      </c>
      <c r="E227" s="54" t="str">
        <f t="shared" si="0"/>
        <v>9::Data science::5::- Apply data cleansing techniques to a data set</v>
      </c>
      <c r="F227" s="54" t="s">
        <v>1844</v>
      </c>
      <c r="G227" s="54">
        <v>3.7</v>
      </c>
      <c r="H227" s="54" t="s">
        <v>12</v>
      </c>
      <c r="I227" s="54" t="s">
        <v>1083</v>
      </c>
    </row>
    <row r="228" spans="1:9" ht="13">
      <c r="A228" s="54">
        <v>3</v>
      </c>
      <c r="B228" s="54">
        <v>9</v>
      </c>
      <c r="C228" s="54" t="s">
        <v>1829</v>
      </c>
      <c r="D228" s="54">
        <v>5</v>
      </c>
      <c r="E228" s="54" t="str">
        <f t="shared" si="0"/>
        <v>9::Data science::5::- Visualise a data set</v>
      </c>
      <c r="F228" s="54" t="s">
        <v>1845</v>
      </c>
      <c r="G228" s="54">
        <v>3.7</v>
      </c>
      <c r="H228" s="54" t="s">
        <v>1204</v>
      </c>
      <c r="I228" s="54" t="s">
        <v>1083</v>
      </c>
    </row>
    <row r="229" spans="1:9" ht="13">
      <c r="A229" s="54">
        <v>3</v>
      </c>
      <c r="B229" s="54">
        <v>9</v>
      </c>
      <c r="C229" s="54" t="s">
        <v>1829</v>
      </c>
      <c r="D229" s="54">
        <v>6</v>
      </c>
      <c r="E229" s="54" t="str">
        <f t="shared" si="0"/>
        <v>9::Data science::6::- Visualise a data set</v>
      </c>
      <c r="F229" s="54" t="s">
        <v>1845</v>
      </c>
      <c r="G229" s="54">
        <v>3.7</v>
      </c>
      <c r="H229" s="54" t="s">
        <v>1193</v>
      </c>
      <c r="I229" s="54" t="s">
        <v>1083</v>
      </c>
    </row>
    <row r="230" spans="1:9" ht="13">
      <c r="A230" s="54">
        <v>3</v>
      </c>
      <c r="B230" s="54">
        <v>9</v>
      </c>
      <c r="C230" s="54" t="s">
        <v>1829</v>
      </c>
      <c r="D230" s="54">
        <v>6</v>
      </c>
      <c r="E230" s="54" t="str">
        <f t="shared" si="0"/>
        <v>9::Data science::6::- Analyse visualisations to identify patterns, trends, and outliers</v>
      </c>
      <c r="F230" s="54" t="s">
        <v>1846</v>
      </c>
      <c r="G230" s="54">
        <v>3.7</v>
      </c>
      <c r="H230" s="54" t="s">
        <v>12</v>
      </c>
      <c r="I230" s="54" t="s">
        <v>1083</v>
      </c>
    </row>
    <row r="231" spans="1:9" ht="13">
      <c r="A231" s="54">
        <v>3</v>
      </c>
      <c r="B231" s="54">
        <v>9</v>
      </c>
      <c r="C231" s="54" t="s">
        <v>1829</v>
      </c>
      <c r="D231" s="54">
        <v>6</v>
      </c>
      <c r="E231" s="54" t="str">
        <f t="shared" si="0"/>
        <v>9::Data science::6::- Draw conclusions and report findings</v>
      </c>
      <c r="F231" s="54" t="s">
        <v>1847</v>
      </c>
      <c r="G231" s="54">
        <v>3.7</v>
      </c>
      <c r="H231" s="54" t="s">
        <v>1834</v>
      </c>
      <c r="I231" s="54" t="s">
        <v>1083</v>
      </c>
    </row>
    <row r="232" spans="1:9" ht="13">
      <c r="A232" s="54">
        <v>3</v>
      </c>
      <c r="B232" s="54">
        <v>9</v>
      </c>
      <c r="C232" s="54" t="s">
        <v>1848</v>
      </c>
      <c r="D232" s="54">
        <v>1</v>
      </c>
      <c r="E232" s="54" t="str">
        <f t="shared" si="0"/>
        <v>9::Media – Animations::1::- Add, delete, and move objects</v>
      </c>
      <c r="F232" s="54" t="s">
        <v>1849</v>
      </c>
      <c r="G232" s="54">
        <v>3.8</v>
      </c>
      <c r="H232" s="54" t="s">
        <v>1082</v>
      </c>
      <c r="I232" s="54" t="s">
        <v>1083</v>
      </c>
    </row>
    <row r="233" spans="1:9" ht="13">
      <c r="A233" s="54">
        <v>3</v>
      </c>
      <c r="B233" s="54">
        <v>9</v>
      </c>
      <c r="C233" s="54" t="s">
        <v>1848</v>
      </c>
      <c r="D233" s="54">
        <v>1</v>
      </c>
      <c r="E233" s="54" t="str">
        <f t="shared" si="0"/>
        <v>9::Media – Animations::1::- Scale and rotate objects</v>
      </c>
      <c r="F233" s="54" t="s">
        <v>1850</v>
      </c>
      <c r="G233" s="54">
        <v>3.8</v>
      </c>
      <c r="H233" s="54" t="s">
        <v>1082</v>
      </c>
      <c r="I233" s="54" t="s">
        <v>1083</v>
      </c>
    </row>
    <row r="234" spans="1:9" ht="13">
      <c r="A234" s="54">
        <v>3</v>
      </c>
      <c r="B234" s="54">
        <v>9</v>
      </c>
      <c r="C234" s="54" t="s">
        <v>1848</v>
      </c>
      <c r="D234" s="54">
        <v>1</v>
      </c>
      <c r="E234" s="54" t="str">
        <f t="shared" si="0"/>
        <v>9::Media – Animations::1::- Use a material to add colour to objects</v>
      </c>
      <c r="F234" s="54" t="s">
        <v>1851</v>
      </c>
      <c r="G234" s="54">
        <v>3.8</v>
      </c>
      <c r="H234" s="54" t="s">
        <v>1082</v>
      </c>
      <c r="I234" s="54" t="s">
        <v>1083</v>
      </c>
    </row>
    <row r="235" spans="1:9" ht="13">
      <c r="A235" s="54">
        <v>3</v>
      </c>
      <c r="B235" s="54">
        <v>9</v>
      </c>
      <c r="C235" s="54" t="s">
        <v>1848</v>
      </c>
      <c r="D235" s="54">
        <v>2</v>
      </c>
      <c r="E235" s="54" t="str">
        <f t="shared" si="0"/>
        <v>9::Media – Animations::2::- Add, move, and delete keyframes to make basic animations</v>
      </c>
      <c r="F235" s="54" t="s">
        <v>1852</v>
      </c>
      <c r="G235" s="54">
        <v>3.8</v>
      </c>
      <c r="H235" s="54" t="s">
        <v>1082</v>
      </c>
      <c r="I235" s="54" t="s">
        <v>1083</v>
      </c>
    </row>
    <row r="236" spans="1:9" ht="13">
      <c r="A236" s="54">
        <v>3</v>
      </c>
      <c r="B236" s="54">
        <v>9</v>
      </c>
      <c r="C236" s="54" t="s">
        <v>1848</v>
      </c>
      <c r="D236" s="54">
        <v>2</v>
      </c>
      <c r="E236" s="54" t="str">
        <f t="shared" si="0"/>
        <v>9::Media – Animations::2::- Play, pause, and move through the animation using the timeline</v>
      </c>
      <c r="F236" s="54" t="s">
        <v>1853</v>
      </c>
      <c r="G236" s="54">
        <v>3.8</v>
      </c>
      <c r="H236" s="54" t="s">
        <v>1082</v>
      </c>
      <c r="I236" s="54" t="s">
        <v>1083</v>
      </c>
    </row>
    <row r="237" spans="1:9" ht="13">
      <c r="A237" s="54">
        <v>3</v>
      </c>
      <c r="B237" s="54">
        <v>9</v>
      </c>
      <c r="C237" s="54" t="s">
        <v>1848</v>
      </c>
      <c r="D237" s="54">
        <v>2</v>
      </c>
      <c r="E237" s="54" t="str">
        <f t="shared" si="0"/>
        <v>9::Media – Animations::2::- Create useful names for objects</v>
      </c>
      <c r="F237" s="54" t="s">
        <v>1854</v>
      </c>
      <c r="G237" s="54">
        <v>3.8</v>
      </c>
      <c r="H237" s="54" t="s">
        <v>1082</v>
      </c>
      <c r="I237" s="54" t="s">
        <v>1083</v>
      </c>
    </row>
    <row r="238" spans="1:9" ht="13">
      <c r="A238" s="54">
        <v>3</v>
      </c>
      <c r="B238" s="54">
        <v>9</v>
      </c>
      <c r="C238" s="54" t="s">
        <v>1848</v>
      </c>
      <c r="D238" s="54">
        <v>2</v>
      </c>
      <c r="E238" s="54" t="str">
        <f t="shared" si="0"/>
        <v>9::Media – Animations::2::- Join multiple objects together using parenting</v>
      </c>
      <c r="F238" s="54" t="s">
        <v>1855</v>
      </c>
      <c r="G238" s="54">
        <v>3.8</v>
      </c>
      <c r="H238" s="54" t="s">
        <v>1082</v>
      </c>
      <c r="I238" s="54" t="s">
        <v>1083</v>
      </c>
    </row>
    <row r="239" spans="1:9" ht="13">
      <c r="A239" s="54">
        <v>3</v>
      </c>
      <c r="B239" s="54">
        <v>9</v>
      </c>
      <c r="C239" s="54" t="s">
        <v>1848</v>
      </c>
      <c r="D239" s="54">
        <v>3</v>
      </c>
      <c r="E239" s="54" t="str">
        <f t="shared" si="0"/>
        <v>9::Media – Animations::3::- Use edit mode and extrude</v>
      </c>
      <c r="F239" s="54" t="s">
        <v>1856</v>
      </c>
      <c r="G239" s="54">
        <v>3.8</v>
      </c>
      <c r="H239" s="54" t="s">
        <v>1082</v>
      </c>
      <c r="I239" s="54" t="s">
        <v>1083</v>
      </c>
    </row>
    <row r="240" spans="1:9" ht="13">
      <c r="A240" s="54">
        <v>3</v>
      </c>
      <c r="B240" s="54">
        <v>9</v>
      </c>
      <c r="C240" s="54" t="s">
        <v>1848</v>
      </c>
      <c r="D240" s="54">
        <v>3</v>
      </c>
      <c r="E240" s="54" t="str">
        <f t="shared" si="0"/>
        <v>9::Media – Animations::3::- Use loop cut and face editing</v>
      </c>
      <c r="F240" s="54" t="s">
        <v>1857</v>
      </c>
      <c r="G240" s="54">
        <v>3.8</v>
      </c>
      <c r="H240" s="54" t="s">
        <v>1082</v>
      </c>
      <c r="I240" s="54" t="s">
        <v>1083</v>
      </c>
    </row>
    <row r="241" spans="1:9" ht="13">
      <c r="A241" s="54">
        <v>3</v>
      </c>
      <c r="B241" s="54">
        <v>9</v>
      </c>
      <c r="C241" s="54" t="s">
        <v>1848</v>
      </c>
      <c r="D241" s="54">
        <v>3</v>
      </c>
      <c r="E241" s="54" t="str">
        <f t="shared" si="0"/>
        <v>9::Media – Animations::3::- Apply different colours to different parts of the same model</v>
      </c>
      <c r="F241" s="54" t="s">
        <v>1858</v>
      </c>
      <c r="G241" s="54">
        <v>3.8</v>
      </c>
      <c r="H241" s="54" t="s">
        <v>1082</v>
      </c>
      <c r="I241" s="54" t="s">
        <v>1083</v>
      </c>
    </row>
    <row r="242" spans="1:9" ht="13">
      <c r="A242" s="54">
        <v>3</v>
      </c>
      <c r="B242" s="54">
        <v>9</v>
      </c>
      <c r="C242" s="54" t="s">
        <v>1848</v>
      </c>
      <c r="D242" s="54">
        <v>4</v>
      </c>
      <c r="E242" s="54" t="str">
        <f t="shared" si="0"/>
        <v>9::Media – Animations::4::- Use proportional editing</v>
      </c>
      <c r="F242" s="54" t="s">
        <v>1859</v>
      </c>
      <c r="G242" s="54">
        <v>3.8</v>
      </c>
      <c r="H242" s="54" t="s">
        <v>1082</v>
      </c>
      <c r="I242" s="54" t="s">
        <v>1083</v>
      </c>
    </row>
    <row r="243" spans="1:9" ht="13">
      <c r="A243" s="54">
        <v>3</v>
      </c>
      <c r="B243" s="54">
        <v>9</v>
      </c>
      <c r="C243" s="54" t="s">
        <v>1848</v>
      </c>
      <c r="D243" s="54">
        <v>4</v>
      </c>
      <c r="E243" s="54" t="str">
        <f t="shared" si="0"/>
        <v>9::Media – Animations::4::- Use the knife tool</v>
      </c>
      <c r="F243" s="54" t="s">
        <v>1860</v>
      </c>
      <c r="G243" s="54">
        <v>3.8</v>
      </c>
      <c r="H243" s="54" t="s">
        <v>1082</v>
      </c>
      <c r="I243" s="54" t="s">
        <v>1083</v>
      </c>
    </row>
    <row r="244" spans="1:9" ht="13">
      <c r="A244" s="54">
        <v>3</v>
      </c>
      <c r="B244" s="54">
        <v>9</v>
      </c>
      <c r="C244" s="54" t="s">
        <v>1848</v>
      </c>
      <c r="D244" s="54">
        <v>4</v>
      </c>
      <c r="E244" s="54" t="str">
        <f t="shared" si="0"/>
        <v>9::Media – Animations::4::- Use subdivision</v>
      </c>
      <c r="F244" s="54" t="s">
        <v>1861</v>
      </c>
      <c r="G244" s="54">
        <v>3.8</v>
      </c>
      <c r="H244" s="54" t="s">
        <v>1082</v>
      </c>
      <c r="I244" s="54" t="s">
        <v>1083</v>
      </c>
    </row>
    <row r="245" spans="1:9" ht="13">
      <c r="A245" s="54">
        <v>3</v>
      </c>
      <c r="B245" s="54">
        <v>9</v>
      </c>
      <c r="C245" s="54" t="s">
        <v>1848</v>
      </c>
      <c r="D245" s="54">
        <v>5</v>
      </c>
      <c r="E245" s="54" t="str">
        <f t="shared" si="0"/>
        <v>9::Media – Animations::5::- Add and edit set lighting</v>
      </c>
      <c r="F245" s="54" t="s">
        <v>1862</v>
      </c>
      <c r="G245" s="54">
        <v>3.8</v>
      </c>
      <c r="H245" s="54" t="s">
        <v>1082</v>
      </c>
      <c r="I245" s="54" t="s">
        <v>1083</v>
      </c>
    </row>
    <row r="246" spans="1:9" ht="13">
      <c r="A246" s="54">
        <v>3</v>
      </c>
      <c r="B246" s="54">
        <v>9</v>
      </c>
      <c r="C246" s="54" t="s">
        <v>1848</v>
      </c>
      <c r="D246" s="54">
        <v>5</v>
      </c>
      <c r="E246" s="54" t="str">
        <f t="shared" si="0"/>
        <v>9::Media – Animations::5::- Set up the camera</v>
      </c>
      <c r="F246" s="54" t="s">
        <v>1863</v>
      </c>
      <c r="G246" s="54">
        <v>3.8</v>
      </c>
      <c r="H246" s="54" t="s">
        <v>1082</v>
      </c>
      <c r="I246" s="54" t="s">
        <v>1083</v>
      </c>
    </row>
    <row r="247" spans="1:9" ht="13">
      <c r="A247" s="54">
        <v>3</v>
      </c>
      <c r="B247" s="54">
        <v>9</v>
      </c>
      <c r="C247" s="54" t="s">
        <v>1848</v>
      </c>
      <c r="D247" s="54">
        <v>5</v>
      </c>
      <c r="E247" s="54" t="str">
        <f t="shared" si="0"/>
        <v>9::Media – Animations::5::- Compare different render modes</v>
      </c>
      <c r="F247" s="54" t="s">
        <v>1864</v>
      </c>
      <c r="G247" s="54">
        <v>3.8</v>
      </c>
      <c r="H247" s="54" t="s">
        <v>1082</v>
      </c>
      <c r="I247" s="54" t="s">
        <v>1083</v>
      </c>
    </row>
    <row r="248" spans="1:9" ht="13">
      <c r="A248" s="54">
        <v>3</v>
      </c>
      <c r="B248" s="54">
        <v>9</v>
      </c>
      <c r="C248" s="54" t="s">
        <v>1848</v>
      </c>
      <c r="D248" s="54">
        <v>6</v>
      </c>
      <c r="E248" s="54" t="str">
        <f t="shared" si="0"/>
        <v>9::Media – Animations::6::- Create a 3–10 second animation</v>
      </c>
      <c r="F248" s="54" t="s">
        <v>1865</v>
      </c>
      <c r="G248" s="54">
        <v>3.8</v>
      </c>
      <c r="H248" s="54" t="s">
        <v>1082</v>
      </c>
      <c r="I248" s="54" t="s">
        <v>1083</v>
      </c>
    </row>
    <row r="249" spans="1:9" ht="13">
      <c r="A249" s="54">
        <v>3</v>
      </c>
      <c r="B249" s="54">
        <v>9</v>
      </c>
      <c r="C249" s="54" t="s">
        <v>1848</v>
      </c>
      <c r="D249" s="54">
        <v>6</v>
      </c>
      <c r="E249" s="54" t="str">
        <f t="shared" si="0"/>
        <v>9::Media – Animations::6::- Render out the animation</v>
      </c>
      <c r="F249" s="54" t="s">
        <v>1866</v>
      </c>
      <c r="G249" s="54">
        <v>3.8</v>
      </c>
      <c r="H249" s="54" t="s">
        <v>1082</v>
      </c>
      <c r="I249" s="54" t="s">
        <v>1083</v>
      </c>
    </row>
    <row r="250" spans="1:9" ht="13">
      <c r="A250" s="54">
        <v>3</v>
      </c>
      <c r="B250" s="54">
        <v>9</v>
      </c>
      <c r="C250" s="54" t="s">
        <v>1867</v>
      </c>
      <c r="D250" s="54">
        <v>1</v>
      </c>
      <c r="E250" s="54" t="str">
        <f t="shared" si="0"/>
        <v>9::Physical computing::1::- Describe what the micro:bit is</v>
      </c>
      <c r="F250" s="54" t="s">
        <v>1868</v>
      </c>
      <c r="G250" s="54" t="s">
        <v>1743</v>
      </c>
      <c r="H250" s="54" t="s">
        <v>18</v>
      </c>
      <c r="I250" s="54" t="s">
        <v>1083</v>
      </c>
    </row>
    <row r="251" spans="1:9" ht="13">
      <c r="A251" s="54">
        <v>3</v>
      </c>
      <c r="B251" s="54">
        <v>9</v>
      </c>
      <c r="C251" s="54" t="s">
        <v>1867</v>
      </c>
      <c r="D251" s="54">
        <v>1</v>
      </c>
      <c r="E251" s="54" t="str">
        <f t="shared" si="0"/>
        <v>9::Physical computing::1::- List the micro:bit’s input and output devices</v>
      </c>
      <c r="F251" s="54" t="s">
        <v>1869</v>
      </c>
      <c r="G251" s="54" t="s">
        <v>1743</v>
      </c>
      <c r="H251" s="54" t="s">
        <v>18</v>
      </c>
      <c r="I251" s="54" t="s">
        <v>1083</v>
      </c>
    </row>
    <row r="252" spans="1:9" ht="13">
      <c r="A252" s="54">
        <v>3</v>
      </c>
      <c r="B252" s="54">
        <v>9</v>
      </c>
      <c r="C252" s="54" t="s">
        <v>1867</v>
      </c>
      <c r="D252" s="54">
        <v>1</v>
      </c>
      <c r="E252" s="54" t="str">
        <f t="shared" si="0"/>
        <v>9::Physical computing::1::- Use a development environment to write, execute, and debug a Python program for the micro:bit</v>
      </c>
      <c r="F252" s="54" t="s">
        <v>1870</v>
      </c>
      <c r="G252" s="54" t="s">
        <v>1743</v>
      </c>
      <c r="H252" s="54" t="s">
        <v>1871</v>
      </c>
      <c r="I252" s="54" t="s">
        <v>1083</v>
      </c>
    </row>
    <row r="253" spans="1:9" ht="13">
      <c r="A253" s="54">
        <v>3</v>
      </c>
      <c r="B253" s="54">
        <v>9</v>
      </c>
      <c r="C253" s="54" t="s">
        <v>1867</v>
      </c>
      <c r="D253" s="54">
        <v>2</v>
      </c>
      <c r="E253" s="54" t="str">
        <f t="shared" si="0"/>
        <v>9::Physical computing::2::- Write programs that use the micro:bit’s built-in input and output devices</v>
      </c>
      <c r="F253" s="54" t="s">
        <v>1872</v>
      </c>
      <c r="G253" s="54" t="s">
        <v>1743</v>
      </c>
      <c r="H253" s="54" t="s">
        <v>1873</v>
      </c>
      <c r="I253" s="54" t="s">
        <v>1083</v>
      </c>
    </row>
    <row r="254" spans="1:9" ht="13">
      <c r="A254" s="54">
        <v>3</v>
      </c>
      <c r="B254" s="54">
        <v>9</v>
      </c>
      <c r="C254" s="54" t="s">
        <v>1867</v>
      </c>
      <c r="D254" s="54">
        <v>3</v>
      </c>
      <c r="E254" s="54" t="str">
        <f t="shared" si="0"/>
        <v>9::Physical computing::3::- Write programs that use GPIO pins to generate output and receive input</v>
      </c>
      <c r="F254" s="54" t="s">
        <v>1874</v>
      </c>
      <c r="G254" s="54" t="s">
        <v>1743</v>
      </c>
      <c r="H254" s="54" t="s">
        <v>1873</v>
      </c>
      <c r="I254" s="54" t="s">
        <v>1083</v>
      </c>
    </row>
    <row r="255" spans="1:9" ht="13">
      <c r="A255" s="54">
        <v>3</v>
      </c>
      <c r="B255" s="54">
        <v>9</v>
      </c>
      <c r="C255" s="54" t="s">
        <v>1867</v>
      </c>
      <c r="D255" s="54">
        <v>3</v>
      </c>
      <c r="E255" s="54" t="str">
        <f t="shared" si="0"/>
        <v>9::Physical computing::3::- Write programs that communicate with other devices by sending and receiving messages wirelessly</v>
      </c>
      <c r="F255" s="54" t="s">
        <v>1875</v>
      </c>
      <c r="G255" s="54" t="s">
        <v>1743</v>
      </c>
      <c r="H255" s="54" t="s">
        <v>1876</v>
      </c>
      <c r="I255" s="54" t="s">
        <v>1083</v>
      </c>
    </row>
    <row r="256" spans="1:9" ht="13">
      <c r="A256" s="54">
        <v>3</v>
      </c>
      <c r="B256" s="54">
        <v>9</v>
      </c>
      <c r="C256" s="54" t="s">
        <v>1867</v>
      </c>
      <c r="D256" s="54">
        <v>4</v>
      </c>
      <c r="E256" s="54" t="str">
        <f t="shared" si="0"/>
        <v>9::Physical computing::4::- Design a physical computing artifact purposefully, keeping in mind the problem at hand, the needs of the audience involved, and the available resources</v>
      </c>
      <c r="F256" s="54" t="s">
        <v>1877</v>
      </c>
      <c r="G256" s="54" t="s">
        <v>1743</v>
      </c>
      <c r="H256" s="54" t="s">
        <v>1878</v>
      </c>
      <c r="I256" s="54" t="s">
        <v>1083</v>
      </c>
    </row>
    <row r="257" spans="1:9" ht="13">
      <c r="A257" s="54">
        <v>3</v>
      </c>
      <c r="B257" s="54">
        <v>9</v>
      </c>
      <c r="C257" s="54" t="s">
        <v>1867</v>
      </c>
      <c r="D257" s="54">
        <v>4</v>
      </c>
      <c r="E257" s="54" t="str">
        <f t="shared" ref="E257:E292" si="1">B257&amp;"::"&amp;C257&amp;"::"&amp;D257&amp;"::"&amp;F257</f>
        <v>9::Physical computing::4::- Decompose the functionality of a physical computing system into simpler features</v>
      </c>
      <c r="F257" s="54" t="s">
        <v>1879</v>
      </c>
      <c r="G257" s="54" t="s">
        <v>1743</v>
      </c>
      <c r="H257" s="54" t="s">
        <v>1878</v>
      </c>
      <c r="I257" s="54" t="s">
        <v>1083</v>
      </c>
    </row>
    <row r="258" spans="1:9" ht="13">
      <c r="A258" s="54">
        <v>3</v>
      </c>
      <c r="B258" s="54">
        <v>9</v>
      </c>
      <c r="C258" s="54" t="s">
        <v>1867</v>
      </c>
      <c r="D258" s="54">
        <v>5</v>
      </c>
      <c r="E258" s="54" t="str">
        <f t="shared" si="1"/>
        <v>9::Physical computing::5::- Implement a physical computing project, while following, revising, and refining the project plan</v>
      </c>
      <c r="F258" s="54" t="s">
        <v>1880</v>
      </c>
      <c r="G258" s="54" t="s">
        <v>1743</v>
      </c>
      <c r="H258" s="54" t="s">
        <v>1492</v>
      </c>
      <c r="I258" s="54" t="s">
        <v>1083</v>
      </c>
    </row>
    <row r="259" spans="1:9" ht="13">
      <c r="A259" s="54">
        <v>3</v>
      </c>
      <c r="B259" s="54">
        <v>9</v>
      </c>
      <c r="C259" s="54" t="s">
        <v>1867</v>
      </c>
      <c r="D259" s="54">
        <v>6</v>
      </c>
      <c r="E259" s="54" t="str">
        <f t="shared" si="1"/>
        <v>9::Physical computing::6::- Implement a physical computing project, while following, revising, and refining the project plan</v>
      </c>
      <c r="F259" s="54" t="s">
        <v>1880</v>
      </c>
      <c r="G259" s="54" t="s">
        <v>1743</v>
      </c>
      <c r="H259" s="54" t="s">
        <v>1881</v>
      </c>
      <c r="I259" s="54" t="s">
        <v>1083</v>
      </c>
    </row>
    <row r="260" spans="1:9" ht="13">
      <c r="A260" s="54">
        <v>3</v>
      </c>
      <c r="B260" s="54">
        <v>9</v>
      </c>
      <c r="C260" s="54" t="s">
        <v>1882</v>
      </c>
      <c r="D260" s="54">
        <v>1</v>
      </c>
      <c r="E260" s="54" t="str">
        <f t="shared" si="1"/>
        <v>9::Python programming with sequences of data::1::- Write programs that display messages, receive keyboard input, and use simple arithmetic expressions in assignment statements</v>
      </c>
      <c r="F260" s="54" t="s">
        <v>1883</v>
      </c>
      <c r="G260" s="54" t="s">
        <v>1743</v>
      </c>
      <c r="H260" s="54" t="s">
        <v>1483</v>
      </c>
      <c r="I260" s="54" t="s">
        <v>1083</v>
      </c>
    </row>
    <row r="261" spans="1:9" ht="13">
      <c r="A261" s="54">
        <v>3</v>
      </c>
      <c r="B261" s="54">
        <v>9</v>
      </c>
      <c r="C261" s="54" t="s">
        <v>1882</v>
      </c>
      <c r="D261" s="54">
        <v>1</v>
      </c>
      <c r="E261" s="54" t="str">
        <f t="shared" si="1"/>
        <v>9::Python programming with sequences of data::1::- Locate and correct common syntax errors</v>
      </c>
      <c r="F261" s="54" t="s">
        <v>1746</v>
      </c>
      <c r="G261" s="54" t="s">
        <v>1743</v>
      </c>
      <c r="H261" s="54" t="s">
        <v>1221</v>
      </c>
      <c r="I261" s="54" t="s">
        <v>1083</v>
      </c>
    </row>
    <row r="262" spans="1:9" ht="13">
      <c r="A262" s="54">
        <v>3</v>
      </c>
      <c r="B262" s="54">
        <v>9</v>
      </c>
      <c r="C262" s="54" t="s">
        <v>1882</v>
      </c>
      <c r="D262" s="54">
        <v>1</v>
      </c>
      <c r="E262" s="54" t="str">
        <f t="shared" si="1"/>
        <v>9::Python programming with sequences of data::1::- Create lists and access individual list items</v>
      </c>
      <c r="F262" s="54" t="s">
        <v>1884</v>
      </c>
      <c r="G262" s="54" t="s">
        <v>1743</v>
      </c>
      <c r="H262" s="54" t="s">
        <v>1885</v>
      </c>
      <c r="I262" s="54" t="s">
        <v>1083</v>
      </c>
    </row>
    <row r="263" spans="1:9" ht="13">
      <c r="A263" s="54">
        <v>3</v>
      </c>
      <c r="B263" s="54">
        <v>9</v>
      </c>
      <c r="C263" s="54" t="s">
        <v>1882</v>
      </c>
      <c r="D263" s="54">
        <v>1</v>
      </c>
      <c r="E263" s="54" t="str">
        <f t="shared" si="1"/>
        <v>9::Python programming with sequences of data::1::- Use selection (**if-elif-else* statements) to control the flow of program execution</v>
      </c>
      <c r="F263" s="54" t="s">
        <v>1886</v>
      </c>
      <c r="G263" s="54" t="s">
        <v>1743</v>
      </c>
      <c r="H263" s="54" t="s">
        <v>27</v>
      </c>
      <c r="I263" s="54" t="s">
        <v>1083</v>
      </c>
    </row>
    <row r="264" spans="1:9" ht="13">
      <c r="A264" s="54">
        <v>3</v>
      </c>
      <c r="B264" s="54">
        <v>9</v>
      </c>
      <c r="C264" s="54" t="s">
        <v>1882</v>
      </c>
      <c r="D264" s="54">
        <v>2</v>
      </c>
      <c r="E264" s="54" t="str">
        <f t="shared" si="1"/>
        <v>9::Python programming with sequences of data::2::- Perform common operations on lists or individual items</v>
      </c>
      <c r="F264" s="54" t="s">
        <v>1887</v>
      </c>
      <c r="G264" s="54" t="s">
        <v>1743</v>
      </c>
      <c r="H264" s="54" t="s">
        <v>27</v>
      </c>
      <c r="I264" s="54" t="s">
        <v>1083</v>
      </c>
    </row>
    <row r="265" spans="1:9" ht="13">
      <c r="A265" s="54">
        <v>3</v>
      </c>
      <c r="B265" s="54">
        <v>9</v>
      </c>
      <c r="C265" s="54" t="s">
        <v>1882</v>
      </c>
      <c r="D265" s="54">
        <v>3</v>
      </c>
      <c r="E265" s="54" t="str">
        <f t="shared" si="1"/>
        <v>9::Python programming with sequences of data::3::- Use iteration (while statements) to control the flow of program execution</v>
      </c>
      <c r="F265" s="54" t="s">
        <v>1888</v>
      </c>
      <c r="G265" s="54" t="s">
        <v>1743</v>
      </c>
      <c r="H265" s="54" t="s">
        <v>1221</v>
      </c>
      <c r="I265" s="54" t="s">
        <v>1083</v>
      </c>
    </row>
    <row r="266" spans="1:9" ht="13">
      <c r="A266" s="54">
        <v>3</v>
      </c>
      <c r="B266" s="54">
        <v>9</v>
      </c>
      <c r="C266" s="54" t="s">
        <v>1882</v>
      </c>
      <c r="D266" s="54">
        <v>3</v>
      </c>
      <c r="E266" s="54" t="str">
        <f t="shared" si="1"/>
        <v>9::Python programming with sequences of data::3::- Perform common operations on lists or individual items</v>
      </c>
      <c r="F266" s="54" t="s">
        <v>1887</v>
      </c>
      <c r="G266" s="54" t="s">
        <v>1743</v>
      </c>
      <c r="H266" s="54" t="s">
        <v>1885</v>
      </c>
      <c r="I266" s="54" t="s">
        <v>1083</v>
      </c>
    </row>
    <row r="267" spans="1:9" ht="13">
      <c r="A267" s="54">
        <v>3</v>
      </c>
      <c r="B267" s="54">
        <v>9</v>
      </c>
      <c r="C267" s="54" t="s">
        <v>1882</v>
      </c>
      <c r="D267" s="54">
        <v>3</v>
      </c>
      <c r="E267" s="54" t="str">
        <f t="shared" si="1"/>
        <v>9::Python programming with sequences of data::3::- Perform common operations on strings or individual characters</v>
      </c>
      <c r="F267" s="54" t="s">
        <v>1889</v>
      </c>
      <c r="G267" s="54" t="s">
        <v>1743</v>
      </c>
      <c r="H267" s="54" t="s">
        <v>27</v>
      </c>
      <c r="I267" s="54" t="s">
        <v>1083</v>
      </c>
    </row>
    <row r="268" spans="1:9" ht="13">
      <c r="A268" s="54">
        <v>3</v>
      </c>
      <c r="B268" s="54">
        <v>9</v>
      </c>
      <c r="C268" s="54" t="s">
        <v>1882</v>
      </c>
      <c r="D268" s="54">
        <v>4</v>
      </c>
      <c r="E268" s="54" t="str">
        <f t="shared" si="1"/>
        <v>9::Python programming with sequences of data::4::- Use iteration (for statements) to iterate over list items</v>
      </c>
      <c r="F268" s="54" t="s">
        <v>1890</v>
      </c>
      <c r="G268" s="54" t="s">
        <v>1743</v>
      </c>
      <c r="H268" s="54" t="s">
        <v>1885</v>
      </c>
      <c r="I268" s="54" t="s">
        <v>1083</v>
      </c>
    </row>
    <row r="269" spans="1:9" ht="13">
      <c r="A269" s="54">
        <v>3</v>
      </c>
      <c r="B269" s="54">
        <v>9</v>
      </c>
      <c r="C269" s="54" t="s">
        <v>1882</v>
      </c>
      <c r="D269" s="54">
        <v>4</v>
      </c>
      <c r="E269" s="54" t="str">
        <f t="shared" si="1"/>
        <v>9::Python programming with sequences of data::4::- Perform common operations on lists or strings</v>
      </c>
      <c r="F269" s="54" t="s">
        <v>1891</v>
      </c>
      <c r="G269" s="54" t="s">
        <v>1743</v>
      </c>
      <c r="H269" s="54" t="s">
        <v>1892</v>
      </c>
      <c r="I269" s="54" t="s">
        <v>1083</v>
      </c>
    </row>
    <row r="270" spans="1:9" ht="13">
      <c r="A270" s="54">
        <v>3</v>
      </c>
      <c r="B270" s="54">
        <v>9</v>
      </c>
      <c r="C270" s="54" t="s">
        <v>1882</v>
      </c>
      <c r="D270" s="54">
        <v>5</v>
      </c>
      <c r="E270" s="54" t="str">
        <f t="shared" si="1"/>
        <v>9::Python programming with sequences of data::5::- Use iteration (for loops) to iterate over lists and strings</v>
      </c>
      <c r="F270" s="54" t="s">
        <v>1893</v>
      </c>
      <c r="G270" s="54" t="s">
        <v>1743</v>
      </c>
      <c r="H270" s="54" t="s">
        <v>1885</v>
      </c>
      <c r="I270" s="54" t="s">
        <v>1083</v>
      </c>
    </row>
    <row r="271" spans="1:9" ht="13">
      <c r="A271" s="54">
        <v>3</v>
      </c>
      <c r="B271" s="54">
        <v>9</v>
      </c>
      <c r="C271" s="54" t="s">
        <v>1882</v>
      </c>
      <c r="D271" s="54">
        <v>5</v>
      </c>
      <c r="E271" s="54" t="str">
        <f t="shared" si="1"/>
        <v>9::Python programming with sequences of data::5::- Use variables to keep track of counts and sums</v>
      </c>
      <c r="F271" s="54" t="s">
        <v>1894</v>
      </c>
      <c r="G271" s="54" t="s">
        <v>1743</v>
      </c>
      <c r="H271" s="54" t="s">
        <v>1885</v>
      </c>
      <c r="I271" s="54" t="s">
        <v>1083</v>
      </c>
    </row>
    <row r="272" spans="1:9" ht="13">
      <c r="A272" s="54">
        <v>3</v>
      </c>
      <c r="B272" s="54">
        <v>9</v>
      </c>
      <c r="C272" s="54" t="s">
        <v>1882</v>
      </c>
      <c r="D272" s="54">
        <v>5</v>
      </c>
      <c r="E272" s="54" t="str">
        <f t="shared" si="1"/>
        <v>9::Python programming with sequences of data::5::- Combine key programming language features to develop solutions to meaningful problems</v>
      </c>
      <c r="F272" s="54" t="s">
        <v>1895</v>
      </c>
      <c r="G272" s="54" t="s">
        <v>1743</v>
      </c>
      <c r="H272" s="54" t="s">
        <v>1885</v>
      </c>
      <c r="I272" s="54" t="s">
        <v>1083</v>
      </c>
    </row>
    <row r="273" spans="1:9" ht="13">
      <c r="A273" s="54">
        <v>3</v>
      </c>
      <c r="B273" s="54">
        <v>9</v>
      </c>
      <c r="C273" s="54" t="s">
        <v>1882</v>
      </c>
      <c r="D273" s="54">
        <v>6</v>
      </c>
      <c r="E273" s="54" t="str">
        <f t="shared" si="1"/>
        <v>9::Python programming with sequences of data::6::- Apply all of the skills covered in this unit</v>
      </c>
      <c r="F273" s="54" t="s">
        <v>1805</v>
      </c>
      <c r="G273" s="54" t="s">
        <v>1743</v>
      </c>
      <c r="H273" s="54" t="s">
        <v>1881</v>
      </c>
      <c r="I273" s="54" t="s">
        <v>1083</v>
      </c>
    </row>
    <row r="274" spans="1:9" ht="13">
      <c r="A274" s="54">
        <v>3</v>
      </c>
      <c r="B274" s="54">
        <v>9</v>
      </c>
      <c r="C274" s="54" t="s">
        <v>1896</v>
      </c>
      <c r="D274" s="54">
        <v>1</v>
      </c>
      <c r="E274" s="54" t="str">
        <f t="shared" si="1"/>
        <v>9::Representations – going audiovisual::1::- Describe how digital images are composed of individual elements</v>
      </c>
      <c r="F274" s="54" t="s">
        <v>1897</v>
      </c>
      <c r="G274" s="54">
        <v>3.6</v>
      </c>
      <c r="H274" s="54" t="s">
        <v>12</v>
      </c>
      <c r="I274" s="54" t="s">
        <v>1083</v>
      </c>
    </row>
    <row r="275" spans="1:9" ht="13">
      <c r="A275" s="54">
        <v>3</v>
      </c>
      <c r="B275" s="54">
        <v>9</v>
      </c>
      <c r="C275" s="54" t="s">
        <v>1896</v>
      </c>
      <c r="D275" s="54">
        <v>1</v>
      </c>
      <c r="E275" s="54" t="str">
        <f t="shared" si="1"/>
        <v>9::Representations – going audiovisual::1::- Recall that the colour of each picture element is represented using a sequence of binary digits</v>
      </c>
      <c r="F275" s="54" t="s">
        <v>1898</v>
      </c>
      <c r="G275" s="54">
        <v>3.6</v>
      </c>
      <c r="H275" s="54" t="s">
        <v>12</v>
      </c>
      <c r="I275" s="54" t="s">
        <v>1083</v>
      </c>
    </row>
    <row r="276" spans="1:9" ht="13">
      <c r="A276" s="54">
        <v>3</v>
      </c>
      <c r="B276" s="54">
        <v>9</v>
      </c>
      <c r="C276" s="54" t="s">
        <v>1896</v>
      </c>
      <c r="D276" s="54">
        <v>1</v>
      </c>
      <c r="E276" s="54" t="str">
        <f t="shared" si="1"/>
        <v>9::Representations – going audiovisual::1::- Define key terms such as ‘pixels’, ‘resolution’, and ‘colour depth’</v>
      </c>
      <c r="F276" s="54" t="s">
        <v>1899</v>
      </c>
      <c r="G276" s="54">
        <v>3.6</v>
      </c>
      <c r="H276" s="54" t="s">
        <v>12</v>
      </c>
      <c r="I276" s="54" t="s">
        <v>1083</v>
      </c>
    </row>
    <row r="277" spans="1:9" ht="13">
      <c r="A277" s="54">
        <v>3</v>
      </c>
      <c r="B277" s="54">
        <v>9</v>
      </c>
      <c r="C277" s="54" t="s">
        <v>1896</v>
      </c>
      <c r="D277" s="54">
        <v>1</v>
      </c>
      <c r="E277" s="54" t="str">
        <f t="shared" si="1"/>
        <v>9::Representations – going audiovisual::1::- Describe how an image can be represented as a sequence of bits</v>
      </c>
      <c r="F277" s="54" t="s">
        <v>1900</v>
      </c>
      <c r="G277" s="54">
        <v>3.6</v>
      </c>
      <c r="H277" s="54" t="s">
        <v>12</v>
      </c>
      <c r="I277" s="54" t="s">
        <v>1083</v>
      </c>
    </row>
    <row r="278" spans="1:9" ht="13">
      <c r="A278" s="54">
        <v>3</v>
      </c>
      <c r="B278" s="54">
        <v>9</v>
      </c>
      <c r="C278" s="54" t="s">
        <v>1896</v>
      </c>
      <c r="D278" s="54">
        <v>2</v>
      </c>
      <c r="E278" s="54" t="str">
        <f t="shared" si="1"/>
        <v>9::Representations – going audiovisual::2::- Describe how colour can be represented as a mixture of red, green, and blue, with a sequence of bits representing each colour’s intensity</v>
      </c>
      <c r="F278" s="54" t="s">
        <v>1901</v>
      </c>
      <c r="G278" s="54">
        <v>3.6</v>
      </c>
      <c r="H278" s="54" t="s">
        <v>12</v>
      </c>
      <c r="I278" s="54" t="s">
        <v>1083</v>
      </c>
    </row>
    <row r="279" spans="1:9" ht="13">
      <c r="A279" s="54">
        <v>3</v>
      </c>
      <c r="B279" s="54">
        <v>9</v>
      </c>
      <c r="C279" s="54" t="s">
        <v>1896</v>
      </c>
      <c r="D279" s="54">
        <v>2</v>
      </c>
      <c r="E279" s="54" t="str">
        <f t="shared" si="1"/>
        <v>9::Representations – going audiovisual::2::- Compute the representation size of a digital image, by multiplying resolution (number of pixels) with colour depth (number of bits used to represent the colour of individual pixels)</v>
      </c>
      <c r="F279" s="54" t="s">
        <v>1902</v>
      </c>
      <c r="G279" s="54">
        <v>3.6</v>
      </c>
      <c r="H279" s="54" t="s">
        <v>12</v>
      </c>
      <c r="I279" s="54" t="s">
        <v>1083</v>
      </c>
    </row>
    <row r="280" spans="1:9" ht="13">
      <c r="A280" s="54">
        <v>3</v>
      </c>
      <c r="B280" s="54">
        <v>9</v>
      </c>
      <c r="C280" s="54" t="s">
        <v>1896</v>
      </c>
      <c r="D280" s="54">
        <v>2</v>
      </c>
      <c r="E280" s="54" t="str">
        <f t="shared" si="1"/>
        <v>9::Representations – going audiovisual::2::- Describe the trade-off between representation size and perceived quality for digital images</v>
      </c>
      <c r="F280" s="54" t="s">
        <v>1903</v>
      </c>
      <c r="G280" s="54">
        <v>3.6</v>
      </c>
      <c r="H280" s="54" t="s">
        <v>12</v>
      </c>
      <c r="I280" s="54" t="s">
        <v>1083</v>
      </c>
    </row>
    <row r="281" spans="1:9" ht="13">
      <c r="A281" s="54">
        <v>3</v>
      </c>
      <c r="B281" s="54">
        <v>9</v>
      </c>
      <c r="C281" s="54" t="s">
        <v>1896</v>
      </c>
      <c r="D281" s="54">
        <v>3</v>
      </c>
      <c r="E281" s="54" t="str">
        <f t="shared" si="1"/>
        <v>9::Representations – going audiovisual::3::- Perform basic image editing tasks using appropriate software and combine them in order to solve more complex problems requiring image manipulation</v>
      </c>
      <c r="F281" s="54" t="s">
        <v>1904</v>
      </c>
      <c r="G281" s="54">
        <v>3.6</v>
      </c>
      <c r="H281" s="54" t="s">
        <v>1442</v>
      </c>
      <c r="I281" s="54" t="s">
        <v>1083</v>
      </c>
    </row>
    <row r="282" spans="1:9" ht="13">
      <c r="A282" s="54">
        <v>3</v>
      </c>
      <c r="B282" s="54">
        <v>9</v>
      </c>
      <c r="C282" s="54" t="s">
        <v>1896</v>
      </c>
      <c r="D282" s="54">
        <v>3</v>
      </c>
      <c r="E282" s="54" t="str">
        <f t="shared" si="1"/>
        <v>9::Representations – going audiovisual::3::- Explain how the manipulation of digital images amounts to arithmetic operations on their digital representation</v>
      </c>
      <c r="F282" s="54" t="s">
        <v>1905</v>
      </c>
      <c r="G282" s="54">
        <v>3.6</v>
      </c>
      <c r="H282" s="54" t="s">
        <v>1193</v>
      </c>
      <c r="I282" s="54" t="s">
        <v>1083</v>
      </c>
    </row>
    <row r="283" spans="1:9" ht="13">
      <c r="A283" s="54">
        <v>3</v>
      </c>
      <c r="B283" s="54">
        <v>9</v>
      </c>
      <c r="C283" s="54" t="s">
        <v>1896</v>
      </c>
      <c r="D283" s="54">
        <v>3</v>
      </c>
      <c r="E283" s="54" t="str">
        <f t="shared" si="1"/>
        <v>9::Representations – going audiovisual::3::- Describe and assess the creative benefits and ethical drawbacks of digital manipulation [Education for a Connected World](https://www.gov.uk/government/publications/education-for-a-connected-world)</v>
      </c>
      <c r="F283" s="54" t="s">
        <v>1906</v>
      </c>
      <c r="G283" s="54">
        <v>3.6</v>
      </c>
      <c r="H283" s="54" t="s">
        <v>1907</v>
      </c>
      <c r="I283" s="54" t="s">
        <v>1083</v>
      </c>
    </row>
    <row r="284" spans="1:9" ht="13">
      <c r="A284" s="54">
        <v>3</v>
      </c>
      <c r="B284" s="54">
        <v>9</v>
      </c>
      <c r="C284" s="54" t="s">
        <v>1896</v>
      </c>
      <c r="D284" s="54">
        <v>4</v>
      </c>
      <c r="E284" s="54" t="str">
        <f t="shared" si="1"/>
        <v>9::Representations – going audiovisual::4::- Recall that sound is a wave</v>
      </c>
      <c r="F284" s="54" t="s">
        <v>1908</v>
      </c>
      <c r="G284" s="54">
        <v>3.6</v>
      </c>
      <c r="H284" s="54" t="s">
        <v>12</v>
      </c>
      <c r="I284" s="54" t="s">
        <v>1083</v>
      </c>
    </row>
    <row r="285" spans="1:9" ht="13">
      <c r="A285" s="54">
        <v>3</v>
      </c>
      <c r="B285" s="54">
        <v>9</v>
      </c>
      <c r="C285" s="54" t="s">
        <v>1896</v>
      </c>
      <c r="D285" s="54">
        <v>4</v>
      </c>
      <c r="E285" s="54" t="str">
        <f t="shared" si="1"/>
        <v>9::Representations – going audiovisual::4::- Explain the function of microphones and speakers as components that capture and generate sound</v>
      </c>
      <c r="F285" s="54" t="s">
        <v>1909</v>
      </c>
      <c r="G285" s="54">
        <v>3.6</v>
      </c>
      <c r="H285" s="54" t="s">
        <v>18</v>
      </c>
      <c r="I285" s="54" t="s">
        <v>1083</v>
      </c>
    </row>
    <row r="286" spans="1:9" ht="13">
      <c r="A286" s="54">
        <v>3</v>
      </c>
      <c r="B286" s="54">
        <v>9</v>
      </c>
      <c r="C286" s="54" t="s">
        <v>1896</v>
      </c>
      <c r="D286" s="54">
        <v>4</v>
      </c>
      <c r="E286" s="54" t="str">
        <f t="shared" si="1"/>
        <v>9::Representations – going audiovisual::4::- Define key terms such as ‘sample’, ‘sampling frequency/rate’, ‘sample size’</v>
      </c>
      <c r="F286" s="54" t="s">
        <v>1910</v>
      </c>
      <c r="G286" s="54">
        <v>3.6</v>
      </c>
      <c r="H286" s="54" t="s">
        <v>12</v>
      </c>
      <c r="I286" s="54" t="s">
        <v>1083</v>
      </c>
    </row>
    <row r="287" spans="1:9" ht="13">
      <c r="A287" s="54">
        <v>3</v>
      </c>
      <c r="B287" s="54">
        <v>9</v>
      </c>
      <c r="C287" s="54" t="s">
        <v>1896</v>
      </c>
      <c r="D287" s="54">
        <v>4</v>
      </c>
      <c r="E287" s="54" t="str">
        <f t="shared" si="1"/>
        <v>9::Representations – going audiovisual::4::- Describe how sounds are represented as sequences of bits</v>
      </c>
      <c r="F287" s="54" t="s">
        <v>1911</v>
      </c>
      <c r="G287" s="54">
        <v>3.6</v>
      </c>
      <c r="H287" s="54" t="s">
        <v>12</v>
      </c>
      <c r="I287" s="54" t="s">
        <v>1083</v>
      </c>
    </row>
    <row r="288" spans="1:9" ht="13">
      <c r="A288" s="54">
        <v>3</v>
      </c>
      <c r="B288" s="54">
        <v>9</v>
      </c>
      <c r="C288" s="54" t="s">
        <v>1896</v>
      </c>
      <c r="D288" s="54">
        <v>5</v>
      </c>
      <c r="E288" s="54" t="str">
        <f t="shared" si="1"/>
        <v>9::Representations – going audiovisual::5::- Calculate representation size for a given digital sound, given its attributes</v>
      </c>
      <c r="F288" s="54" t="s">
        <v>1912</v>
      </c>
      <c r="G288" s="54">
        <v>3.6</v>
      </c>
      <c r="H288" s="54" t="s">
        <v>12</v>
      </c>
      <c r="I288" s="54" t="s">
        <v>1083</v>
      </c>
    </row>
    <row r="289" spans="1:9" ht="13">
      <c r="A289" s="54">
        <v>3</v>
      </c>
      <c r="B289" s="54">
        <v>9</v>
      </c>
      <c r="C289" s="54" t="s">
        <v>1896</v>
      </c>
      <c r="D289" s="54">
        <v>5</v>
      </c>
      <c r="E289" s="54" t="str">
        <f t="shared" si="1"/>
        <v>9::Representations – going audiovisual::5::- Explain how attributes such as sampling frequency and sample size affect characteristics such as representation size and perceived quality, and the trade-offs involved</v>
      </c>
      <c r="F289" s="54" t="s">
        <v>1913</v>
      </c>
      <c r="G289" s="54">
        <v>3.6</v>
      </c>
      <c r="H289" s="54" t="s">
        <v>12</v>
      </c>
      <c r="I289" s="54" t="s">
        <v>1083</v>
      </c>
    </row>
    <row r="290" spans="1:9" ht="13">
      <c r="A290" s="54">
        <v>3</v>
      </c>
      <c r="B290" s="54">
        <v>9</v>
      </c>
      <c r="C290" s="54" t="s">
        <v>1896</v>
      </c>
      <c r="D290" s="54">
        <v>5</v>
      </c>
      <c r="E290" s="54" t="str">
        <f t="shared" si="1"/>
        <v xml:space="preserve">9::Representations – going audiovisual::5::- Perform basic sound editing tasks using appropriate software and combine them in order to solve more complex problems requiring sound manipulation
</v>
      </c>
      <c r="F290" s="54" t="s">
        <v>1914</v>
      </c>
      <c r="G290" s="54">
        <v>3.6</v>
      </c>
      <c r="H290" s="54" t="s">
        <v>12</v>
      </c>
      <c r="I290" s="54" t="s">
        <v>1083</v>
      </c>
    </row>
    <row r="291" spans="1:9" ht="13">
      <c r="A291" s="54">
        <v>3</v>
      </c>
      <c r="B291" s="54">
        <v>9</v>
      </c>
      <c r="C291" s="54" t="s">
        <v>1896</v>
      </c>
      <c r="D291" s="54">
        <v>6</v>
      </c>
      <c r="E291" s="54" t="str">
        <f t="shared" si="1"/>
        <v>9::Representations – going audiovisual::6::- Recall that bitmap images and pulse code sound are not the only binary representations of images and sound available</v>
      </c>
      <c r="F291" s="54" t="s">
        <v>1915</v>
      </c>
      <c r="G291" s="54">
        <v>3.6</v>
      </c>
      <c r="H291" s="54" t="s">
        <v>12</v>
      </c>
      <c r="I291" s="54" t="s">
        <v>1083</v>
      </c>
    </row>
    <row r="292" spans="1:9" ht="13">
      <c r="A292" s="54">
        <v>3</v>
      </c>
      <c r="B292" s="54">
        <v>9</v>
      </c>
      <c r="C292" s="54" t="s">
        <v>1896</v>
      </c>
      <c r="D292" s="54">
        <v>6</v>
      </c>
      <c r="E292" s="54" t="str">
        <f t="shared" si="1"/>
        <v>9::Representations – going audiovisual::6::- Define ‘compression’, and describe why it is necessary</v>
      </c>
      <c r="F292" s="54" t="s">
        <v>1916</v>
      </c>
      <c r="G292" s="54">
        <v>3.6</v>
      </c>
      <c r="H292" s="54" t="s">
        <v>12</v>
      </c>
      <c r="I292" s="54" t="s">
        <v>1083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H129"/>
  <sheetViews>
    <sheetView workbookViewId="0"/>
  </sheetViews>
  <sheetFormatPr baseColWidth="10" defaultColWidth="12.6640625" defaultRowHeight="15.75" customHeight="1"/>
  <sheetData>
    <row r="1" spans="1:8" ht="15.75" customHeight="1">
      <c r="A1" s="54" t="s">
        <v>1057</v>
      </c>
      <c r="B1" s="54" t="s">
        <v>1058</v>
      </c>
      <c r="C1" s="54" t="s">
        <v>1059</v>
      </c>
      <c r="D1" s="54"/>
      <c r="E1" s="54" t="s">
        <v>1060</v>
      </c>
      <c r="F1" s="54" t="s">
        <v>1061</v>
      </c>
      <c r="G1" s="54" t="s">
        <v>1061</v>
      </c>
      <c r="H1" s="54" t="s">
        <v>1061</v>
      </c>
    </row>
    <row r="2" spans="1:8" ht="15.75" customHeight="1">
      <c r="A2" s="54" t="s">
        <v>1917</v>
      </c>
      <c r="B2" s="54" t="s">
        <v>1918</v>
      </c>
      <c r="C2" s="54">
        <v>1</v>
      </c>
      <c r="D2" s="54" t="str">
        <f t="shared" ref="D2:D129" si="0">$B2&amp;"::"&amp;$C2&amp;"::"&amp;$E2</f>
        <v>IT and the world of work::1::Examine traditional and modern team working</v>
      </c>
      <c r="E2" s="54" t="s">
        <v>1919</v>
      </c>
      <c r="F2" s="54">
        <v>4.0999999999999996</v>
      </c>
      <c r="G2" s="54" t="s">
        <v>1920</v>
      </c>
      <c r="H2" s="54" t="s">
        <v>1083</v>
      </c>
    </row>
    <row r="3" spans="1:8" ht="15.75" customHeight="1">
      <c r="A3" s="54" t="s">
        <v>1917</v>
      </c>
      <c r="B3" s="54" t="s">
        <v>1918</v>
      </c>
      <c r="C3" s="54">
        <v>1</v>
      </c>
      <c r="D3" s="54" t="str">
        <f t="shared" si="0"/>
        <v>IT and the world of work::1::Interpret the advantages and disadvantages of 24/7/365 availability</v>
      </c>
      <c r="E3" s="54" t="s">
        <v>1921</v>
      </c>
      <c r="F3" s="54">
        <v>4.0999999999999996</v>
      </c>
      <c r="G3" s="54" t="s">
        <v>1920</v>
      </c>
      <c r="H3" s="54" t="s">
        <v>1083</v>
      </c>
    </row>
    <row r="4" spans="1:8" ht="15.75" customHeight="1">
      <c r="A4" s="54" t="s">
        <v>1917</v>
      </c>
      <c r="B4" s="54" t="s">
        <v>1918</v>
      </c>
      <c r="C4" s="54">
        <v>1</v>
      </c>
      <c r="D4" s="54" t="str">
        <f t="shared" si="0"/>
        <v>IT and the world of work::1::Compare inclusivity and accessibility within traditional and modern teams</v>
      </c>
      <c r="E4" s="54" t="s">
        <v>1922</v>
      </c>
      <c r="F4" s="54">
        <v>4.0999999999999996</v>
      </c>
      <c r="G4" s="54" t="s">
        <v>1920</v>
      </c>
      <c r="H4" s="54" t="s">
        <v>1083</v>
      </c>
    </row>
    <row r="5" spans="1:8" ht="15.75" customHeight="1">
      <c r="A5" s="54" t="s">
        <v>1917</v>
      </c>
      <c r="B5" s="54" t="s">
        <v>1918</v>
      </c>
      <c r="C5" s="54">
        <v>2</v>
      </c>
      <c r="D5" s="54" t="str">
        <f t="shared" si="0"/>
        <v>IT and the world of work::2::Examine modern technology tools that assist inclusivity and accessibility</v>
      </c>
      <c r="E5" s="54" t="s">
        <v>1923</v>
      </c>
      <c r="F5" s="54">
        <v>4.0999999999999996</v>
      </c>
      <c r="G5" s="54" t="s">
        <v>1920</v>
      </c>
      <c r="H5" s="54" t="s">
        <v>1083</v>
      </c>
    </row>
    <row r="6" spans="1:8" ht="15.75" customHeight="1">
      <c r="A6" s="54" t="s">
        <v>1917</v>
      </c>
      <c r="B6" s="54" t="s">
        <v>1918</v>
      </c>
      <c r="C6" s="54">
        <v>2</v>
      </c>
      <c r="D6" s="54" t="str">
        <f t="shared" si="0"/>
        <v>IT and the world of work::2::Explore communication tools</v>
      </c>
      <c r="E6" s="54" t="s">
        <v>1924</v>
      </c>
      <c r="F6" s="54">
        <v>4.0999999999999996</v>
      </c>
      <c r="G6" s="54" t="s">
        <v>1925</v>
      </c>
      <c r="H6" s="54" t="s">
        <v>1083</v>
      </c>
    </row>
    <row r="7" spans="1:8" ht="15.75" customHeight="1">
      <c r="A7" s="54" t="s">
        <v>1917</v>
      </c>
      <c r="B7" s="54" t="s">
        <v>1918</v>
      </c>
      <c r="C7" s="54">
        <v>2</v>
      </c>
      <c r="D7" s="54" t="str">
        <f t="shared" si="0"/>
        <v>IT and the world of work::2::Evaluate collaborative working</v>
      </c>
      <c r="E7" s="54" t="s">
        <v>1926</v>
      </c>
      <c r="F7" s="54">
        <v>4.0999999999999996</v>
      </c>
      <c r="G7" s="54" t="s">
        <v>1925</v>
      </c>
      <c r="H7" s="54" t="s">
        <v>1083</v>
      </c>
    </row>
    <row r="8" spans="1:8" ht="15.75" customHeight="1">
      <c r="A8" s="54" t="s">
        <v>1917</v>
      </c>
      <c r="B8" s="54" t="s">
        <v>1918</v>
      </c>
      <c r="C8" s="54">
        <v>3</v>
      </c>
      <c r="D8" s="54" t="str">
        <f t="shared" si="0"/>
        <v>IT and the world of work::3::Recall collaboration and communication platforms</v>
      </c>
      <c r="E8" s="54" t="s">
        <v>1927</v>
      </c>
      <c r="F8" s="54">
        <v>4.0999999999999996</v>
      </c>
      <c r="G8" s="54" t="s">
        <v>1925</v>
      </c>
      <c r="H8" s="54" t="s">
        <v>1083</v>
      </c>
    </row>
    <row r="9" spans="1:8" ht="15.75" customHeight="1">
      <c r="A9" s="54" t="s">
        <v>1917</v>
      </c>
      <c r="B9" s="54" t="s">
        <v>1918</v>
      </c>
      <c r="C9" s="54">
        <v>3</v>
      </c>
      <c r="D9" s="54" t="str">
        <f t="shared" si="0"/>
        <v>IT and the world of work::3::Evaluate effective online communication</v>
      </c>
      <c r="E9" s="54" t="s">
        <v>1928</v>
      </c>
      <c r="F9" s="54">
        <v>4.0999999999999996</v>
      </c>
      <c r="G9" s="54" t="s">
        <v>1925</v>
      </c>
      <c r="H9" s="54" t="s">
        <v>1083</v>
      </c>
    </row>
    <row r="10" spans="1:8" ht="15.75" customHeight="1">
      <c r="A10" s="54" t="s">
        <v>1917</v>
      </c>
      <c r="B10" s="54" t="s">
        <v>1918</v>
      </c>
      <c r="C10" s="54">
        <v>3</v>
      </c>
      <c r="D10" s="54" t="str">
        <f t="shared" si="0"/>
        <v>IT and the world of work::3::Formulate a proposal that identifies essential skills for the modern workplace</v>
      </c>
      <c r="E10" s="54" t="s">
        <v>1929</v>
      </c>
      <c r="F10" s="54">
        <v>4.0999999999999996</v>
      </c>
      <c r="G10" s="54" t="s">
        <v>1925</v>
      </c>
      <c r="H10" s="54" t="s">
        <v>1083</v>
      </c>
    </row>
    <row r="11" spans="1:8" ht="15.75" customHeight="1">
      <c r="A11" s="54" t="s">
        <v>1917</v>
      </c>
      <c r="B11" s="54" t="s">
        <v>1918</v>
      </c>
      <c r="C11" s="54">
        <v>4</v>
      </c>
      <c r="D11" s="54" t="str">
        <f t="shared" si="0"/>
        <v>IT and the world of work::4::Assess the functions and features of cloud computing</v>
      </c>
      <c r="E11" s="54" t="s">
        <v>1930</v>
      </c>
      <c r="F11" s="54">
        <v>4.0999999999999996</v>
      </c>
      <c r="G11" s="54" t="s">
        <v>1252</v>
      </c>
      <c r="H11" s="54" t="s">
        <v>1083</v>
      </c>
    </row>
    <row r="12" spans="1:8" ht="15.75" customHeight="1">
      <c r="A12" s="54" t="s">
        <v>1917</v>
      </c>
      <c r="B12" s="54" t="s">
        <v>1918</v>
      </c>
      <c r="C12" s="54">
        <v>4</v>
      </c>
      <c r="D12" s="54" t="str">
        <f t="shared" si="0"/>
        <v>IT and the world of work::4::Justify the selection of communication platforms</v>
      </c>
      <c r="E12" s="54" t="s">
        <v>1931</v>
      </c>
      <c r="F12" s="54">
        <v>4.0999999999999996</v>
      </c>
      <c r="G12" s="54" t="s">
        <v>1925</v>
      </c>
      <c r="H12" s="54" t="s">
        <v>1083</v>
      </c>
    </row>
    <row r="13" spans="1:8" ht="15.75" customHeight="1">
      <c r="A13" s="54" t="s">
        <v>1917</v>
      </c>
      <c r="B13" s="54" t="s">
        <v>1918</v>
      </c>
      <c r="C13" s="54">
        <v>4</v>
      </c>
      <c r="D13" s="54" t="str">
        <f t="shared" si="0"/>
        <v>IT and the world of work::4::Evaluate the security of using the cloud for storage and document/data creation</v>
      </c>
      <c r="E13" s="54" t="s">
        <v>1932</v>
      </c>
      <c r="F13" s="54">
        <v>4.0999999999999996</v>
      </c>
      <c r="G13" s="54" t="s">
        <v>1157</v>
      </c>
      <c r="H13" s="54" t="s">
        <v>1083</v>
      </c>
    </row>
    <row r="14" spans="1:8" ht="15.75" customHeight="1">
      <c r="A14" s="54" t="s">
        <v>1917</v>
      </c>
      <c r="B14" s="54" t="s">
        <v>1918</v>
      </c>
      <c r="C14" s="54">
        <v>5</v>
      </c>
      <c r="D14" s="54" t="str">
        <f t="shared" si="0"/>
        <v>IT and the world of work::5::Recognise methods of creating a network when mobile or remote working</v>
      </c>
      <c r="E14" s="54" t="s">
        <v>1933</v>
      </c>
      <c r="F14" s="54">
        <v>4.0999999999999996</v>
      </c>
      <c r="G14" s="54" t="s">
        <v>6</v>
      </c>
      <c r="H14" s="54" t="s">
        <v>1083</v>
      </c>
    </row>
    <row r="15" spans="1:8" ht="15.75" customHeight="1">
      <c r="A15" s="54" t="s">
        <v>1917</v>
      </c>
      <c r="B15" s="54" t="s">
        <v>1918</v>
      </c>
      <c r="C15" s="54">
        <v>5</v>
      </c>
      <c r="D15" s="54" t="str">
        <f t="shared" si="0"/>
        <v>IT and the world of work::5::Evaluate the advantages and disadvantages of ad hoc networks</v>
      </c>
      <c r="E15" s="54" t="s">
        <v>1934</v>
      </c>
      <c r="F15" s="54">
        <v>4.0999999999999996</v>
      </c>
      <c r="G15" s="54" t="s">
        <v>6</v>
      </c>
      <c r="H15" s="54" t="s">
        <v>1083</v>
      </c>
    </row>
    <row r="16" spans="1:8" ht="15.75" customHeight="1">
      <c r="A16" s="54" t="s">
        <v>1917</v>
      </c>
      <c r="B16" s="54" t="s">
        <v>1918</v>
      </c>
      <c r="C16" s="54">
        <v>5</v>
      </c>
      <c r="D16" s="54" t="str">
        <f t="shared" si="0"/>
        <v>IT and the world of work::5::Judge the security of ad hoc networks</v>
      </c>
      <c r="E16" s="54" t="s">
        <v>1935</v>
      </c>
      <c r="F16" s="54">
        <v>4.0999999999999996</v>
      </c>
      <c r="G16" s="54" t="s">
        <v>6</v>
      </c>
      <c r="H16" s="54" t="s">
        <v>1083</v>
      </c>
    </row>
    <row r="17" spans="1:8" ht="15.75" customHeight="1">
      <c r="A17" s="54" t="s">
        <v>1917</v>
      </c>
      <c r="B17" s="54" t="s">
        <v>1918</v>
      </c>
      <c r="C17" s="54">
        <v>6</v>
      </c>
      <c r="D17" s="54" t="str">
        <f t="shared" si="0"/>
        <v>IT and the world of work::6::Evaluate the impact of mental well-being on individuals</v>
      </c>
      <c r="E17" s="54" t="s">
        <v>1936</v>
      </c>
      <c r="F17" s="54">
        <v>4.0999999999999996</v>
      </c>
      <c r="G17" s="54" t="s">
        <v>1925</v>
      </c>
      <c r="H17" s="54" t="s">
        <v>1083</v>
      </c>
    </row>
    <row r="18" spans="1:8" ht="15.75" customHeight="1">
      <c r="A18" s="54" t="s">
        <v>1917</v>
      </c>
      <c r="B18" s="54" t="s">
        <v>1918</v>
      </c>
      <c r="C18" s="54">
        <v>6</v>
      </c>
      <c r="D18" s="54" t="str">
        <f t="shared" si="0"/>
        <v>IT and the world of work::6::Evaluate the impact of physical well-being on individuals</v>
      </c>
      <c r="E18" s="54" t="s">
        <v>1937</v>
      </c>
      <c r="F18" s="54">
        <v>4.0999999999999996</v>
      </c>
      <c r="G18" s="54" t="s">
        <v>1925</v>
      </c>
      <c r="H18" s="54" t="s">
        <v>1083</v>
      </c>
    </row>
    <row r="19" spans="1:8" ht="15.75" customHeight="1">
      <c r="A19" s="54" t="s">
        <v>1917</v>
      </c>
      <c r="B19" s="54" t="s">
        <v>1918</v>
      </c>
      <c r="C19" s="54">
        <v>6</v>
      </c>
      <c r="D19" s="54" t="str">
        <f t="shared" si="0"/>
        <v>IT and the world of work::6::Create a positive working environment</v>
      </c>
      <c r="E19" s="54" t="s">
        <v>1938</v>
      </c>
      <c r="F19" s="54">
        <v>4.0999999999999996</v>
      </c>
      <c r="G19" s="54" t="s">
        <v>1925</v>
      </c>
      <c r="H19" s="54" t="s">
        <v>1083</v>
      </c>
    </row>
    <row r="20" spans="1:8" ht="15.75" customHeight="1">
      <c r="A20" s="54" t="s">
        <v>1917</v>
      </c>
      <c r="B20" s="54" t="s">
        <v>1939</v>
      </c>
      <c r="C20" s="54">
        <v>1</v>
      </c>
      <c r="D20" s="54" t="str">
        <f t="shared" si="0"/>
        <v>IT project management::1::Define the term project management</v>
      </c>
      <c r="E20" s="54" t="s">
        <v>1940</v>
      </c>
      <c r="F20" s="54" t="s">
        <v>1941</v>
      </c>
      <c r="G20" s="54" t="s">
        <v>15</v>
      </c>
      <c r="H20" s="54" t="s">
        <v>1083</v>
      </c>
    </row>
    <row r="21" spans="1:8" ht="15.75" customHeight="1">
      <c r="A21" s="54" t="s">
        <v>1917</v>
      </c>
      <c r="B21" s="54" t="s">
        <v>1939</v>
      </c>
      <c r="C21" s="54">
        <v>1</v>
      </c>
      <c r="D21" s="54" t="str">
        <f t="shared" si="0"/>
        <v>IT project management::1::Identify why the use of project management is important</v>
      </c>
      <c r="E21" s="54" t="s">
        <v>1942</v>
      </c>
      <c r="F21" s="54" t="s">
        <v>1941</v>
      </c>
      <c r="G21" s="54" t="s">
        <v>15</v>
      </c>
      <c r="H21" s="54" t="s">
        <v>1083</v>
      </c>
    </row>
    <row r="22" spans="1:8" ht="15.75" customHeight="1">
      <c r="A22" s="54" t="s">
        <v>1917</v>
      </c>
      <c r="B22" s="54" t="s">
        <v>1939</v>
      </c>
      <c r="C22" s="54">
        <v>1</v>
      </c>
      <c r="D22" s="54" t="str">
        <f t="shared" si="0"/>
        <v>IT project management::1::Select appropriate project management methodologies</v>
      </c>
      <c r="E22" s="54" t="s">
        <v>1943</v>
      </c>
      <c r="F22" s="54" t="s">
        <v>1941</v>
      </c>
      <c r="G22" s="54" t="s">
        <v>15</v>
      </c>
      <c r="H22" s="54" t="s">
        <v>1083</v>
      </c>
    </row>
    <row r="23" spans="1:8" ht="15.75" customHeight="1">
      <c r="A23" s="54" t="s">
        <v>1917</v>
      </c>
      <c r="B23" s="54" t="s">
        <v>1939</v>
      </c>
      <c r="C23" s="54">
        <v>2</v>
      </c>
      <c r="D23" s="54" t="str">
        <f t="shared" si="0"/>
        <v>IT project management::2::Analyse a project brief</v>
      </c>
      <c r="E23" s="54" t="s">
        <v>1944</v>
      </c>
      <c r="F23" s="54" t="s">
        <v>1941</v>
      </c>
      <c r="G23" s="54" t="s">
        <v>15</v>
      </c>
      <c r="H23" s="54" t="s">
        <v>1083</v>
      </c>
    </row>
    <row r="24" spans="1:8" ht="15.75" customHeight="1">
      <c r="A24" s="54" t="s">
        <v>1917</v>
      </c>
      <c r="B24" s="54" t="s">
        <v>1939</v>
      </c>
      <c r="C24" s="54">
        <v>2</v>
      </c>
      <c r="D24" s="54" t="str">
        <f t="shared" si="0"/>
        <v>IT project management::2::Identify the user requirements of a project</v>
      </c>
      <c r="E24" s="54" t="s">
        <v>1945</v>
      </c>
      <c r="F24" s="54" t="s">
        <v>1941</v>
      </c>
      <c r="G24" s="54" t="s">
        <v>15</v>
      </c>
      <c r="H24" s="54" t="s">
        <v>1083</v>
      </c>
    </row>
    <row r="25" spans="1:8" ht="15.75" customHeight="1">
      <c r="A25" s="54" t="s">
        <v>1917</v>
      </c>
      <c r="B25" s="54" t="s">
        <v>1939</v>
      </c>
      <c r="C25" s="54">
        <v>2</v>
      </c>
      <c r="D25" s="54" t="str">
        <f t="shared" si="0"/>
        <v>IT project management::2::Evaluate the constraints of a project</v>
      </c>
      <c r="E25" s="54" t="s">
        <v>1946</v>
      </c>
      <c r="F25" s="54" t="s">
        <v>1941</v>
      </c>
      <c r="G25" s="54" t="s">
        <v>15</v>
      </c>
      <c r="H25" s="54" t="s">
        <v>1083</v>
      </c>
    </row>
    <row r="26" spans="1:8" ht="15.75" customHeight="1">
      <c r="A26" s="54" t="s">
        <v>1917</v>
      </c>
      <c r="B26" s="54" t="s">
        <v>1939</v>
      </c>
      <c r="C26" s="54">
        <v>3</v>
      </c>
      <c r="D26" s="54" t="str">
        <f t="shared" si="0"/>
        <v>IT project management::3::Identify objectives relating to a project</v>
      </c>
      <c r="E26" s="54" t="s">
        <v>1947</v>
      </c>
      <c r="F26" s="54" t="s">
        <v>1941</v>
      </c>
      <c r="G26" s="54" t="s">
        <v>15</v>
      </c>
      <c r="H26" s="54" t="s">
        <v>1083</v>
      </c>
    </row>
    <row r="27" spans="1:8" ht="15.75" customHeight="1">
      <c r="A27" s="54" t="s">
        <v>1917</v>
      </c>
      <c r="B27" s="54" t="s">
        <v>1939</v>
      </c>
      <c r="C27" s="54">
        <v>3</v>
      </c>
      <c r="D27" s="54" t="str">
        <f t="shared" si="0"/>
        <v>IT project management::3::Develop objectives into SMART goals</v>
      </c>
      <c r="E27" s="54" t="s">
        <v>1948</v>
      </c>
      <c r="F27" s="54" t="s">
        <v>1941</v>
      </c>
      <c r="G27" s="54" t="s">
        <v>15</v>
      </c>
      <c r="H27" s="54" t="s">
        <v>1083</v>
      </c>
    </row>
    <row r="28" spans="1:8" ht="15.75" customHeight="1">
      <c r="A28" s="54" t="s">
        <v>1917</v>
      </c>
      <c r="B28" s="54" t="s">
        <v>1939</v>
      </c>
      <c r="C28" s="54">
        <v>3</v>
      </c>
      <c r="D28" s="54" t="str">
        <f t="shared" si="0"/>
        <v>IT project management::3::Define ‘iteration’ and ‘interaction’</v>
      </c>
      <c r="E28" s="54" t="s">
        <v>1949</v>
      </c>
      <c r="F28" s="54" t="s">
        <v>1941</v>
      </c>
      <c r="G28" s="54" t="s">
        <v>15</v>
      </c>
      <c r="H28" s="54" t="s">
        <v>1083</v>
      </c>
    </row>
    <row r="29" spans="1:8" ht="15.75" customHeight="1">
      <c r="A29" s="54" t="s">
        <v>1917</v>
      </c>
      <c r="B29" s="54" t="s">
        <v>1939</v>
      </c>
      <c r="C29" s="54">
        <v>4</v>
      </c>
      <c r="D29" s="54" t="str">
        <f t="shared" si="0"/>
        <v>IT project management::4::Create a Gantt chart</v>
      </c>
      <c r="E29" s="54" t="s">
        <v>1950</v>
      </c>
      <c r="F29" s="54" t="s">
        <v>1941</v>
      </c>
      <c r="G29" s="54" t="s">
        <v>1681</v>
      </c>
      <c r="H29" s="54" t="s">
        <v>1083</v>
      </c>
    </row>
    <row r="30" spans="1:8" ht="15.75" customHeight="1">
      <c r="A30" s="54" t="s">
        <v>1917</v>
      </c>
      <c r="B30" s="54" t="s">
        <v>1939</v>
      </c>
      <c r="C30" s="54">
        <v>4</v>
      </c>
      <c r="D30" s="54" t="str">
        <f t="shared" si="0"/>
        <v>IT project management::4::Create a PERT chart</v>
      </c>
      <c r="E30" s="54" t="s">
        <v>1951</v>
      </c>
      <c r="F30" s="54" t="s">
        <v>1941</v>
      </c>
      <c r="G30" s="54" t="s">
        <v>1681</v>
      </c>
      <c r="H30" s="54" t="s">
        <v>1083</v>
      </c>
    </row>
    <row r="31" spans="1:8" ht="15.75" customHeight="1">
      <c r="A31" s="54" t="s">
        <v>1917</v>
      </c>
      <c r="B31" s="54" t="s">
        <v>1939</v>
      </c>
      <c r="C31" s="54">
        <v>4</v>
      </c>
      <c r="D31" s="54" t="str">
        <f t="shared" si="0"/>
        <v>IT project management::4::Evaluate planning tools</v>
      </c>
      <c r="E31" s="54" t="s">
        <v>1952</v>
      </c>
      <c r="F31" s="54" t="s">
        <v>1941</v>
      </c>
      <c r="G31" s="54" t="s">
        <v>15</v>
      </c>
      <c r="H31" s="54" t="s">
        <v>1083</v>
      </c>
    </row>
    <row r="32" spans="1:8" ht="15.75" customHeight="1">
      <c r="A32" s="54" t="s">
        <v>1917</v>
      </c>
      <c r="B32" s="54" t="s">
        <v>1939</v>
      </c>
      <c r="C32" s="54">
        <v>5</v>
      </c>
      <c r="D32" s="54" t="str">
        <f t="shared" si="0"/>
        <v>IT project management::5::Create an appropriate spreadsheet for a project</v>
      </c>
      <c r="E32" s="54" t="s">
        <v>1953</v>
      </c>
      <c r="F32" s="54" t="s">
        <v>1941</v>
      </c>
      <c r="G32" s="54" t="s">
        <v>1295</v>
      </c>
      <c r="H32" s="54" t="s">
        <v>1083</v>
      </c>
    </row>
    <row r="33" spans="1:8" ht="15.75" customHeight="1">
      <c r="A33" s="54" t="s">
        <v>1917</v>
      </c>
      <c r="B33" s="54" t="s">
        <v>1939</v>
      </c>
      <c r="C33" s="54">
        <v>5</v>
      </c>
      <c r="D33" s="54" t="str">
        <f t="shared" si="0"/>
        <v>IT project management::5::Evaluate a spreadsheet</v>
      </c>
      <c r="E33" s="54" t="s">
        <v>1954</v>
      </c>
      <c r="F33" s="54" t="s">
        <v>1941</v>
      </c>
      <c r="G33" s="54" t="s">
        <v>1681</v>
      </c>
      <c r="H33" s="54" t="s">
        <v>1083</v>
      </c>
    </row>
    <row r="34" spans="1:8" ht="15.75" customHeight="1">
      <c r="A34" s="54" t="s">
        <v>1917</v>
      </c>
      <c r="B34" s="54" t="s">
        <v>1939</v>
      </c>
      <c r="C34" s="54">
        <v>6</v>
      </c>
      <c r="D34" s="54" t="str">
        <f t="shared" si="0"/>
        <v>IT project management::6::Follow a design plan</v>
      </c>
      <c r="E34" s="54" t="s">
        <v>1955</v>
      </c>
      <c r="F34" s="54" t="s">
        <v>1941</v>
      </c>
      <c r="G34" s="54" t="s">
        <v>15</v>
      </c>
      <c r="H34" s="54" t="s">
        <v>1083</v>
      </c>
    </row>
    <row r="35" spans="1:8" ht="15.75" customHeight="1">
      <c r="A35" s="54" t="s">
        <v>1917</v>
      </c>
      <c r="B35" s="54" t="s">
        <v>1939</v>
      </c>
      <c r="C35" s="54">
        <v>6</v>
      </c>
      <c r="D35" s="54" t="str">
        <f t="shared" si="0"/>
        <v>IT project management::6::Create visual media</v>
      </c>
      <c r="E35" s="54" t="s">
        <v>1956</v>
      </c>
      <c r="F35" s="54" t="s">
        <v>1941</v>
      </c>
      <c r="G35" s="54" t="s">
        <v>1179</v>
      </c>
      <c r="H35" s="54" t="s">
        <v>1083</v>
      </c>
    </row>
    <row r="36" spans="1:8" ht="15.75" customHeight="1">
      <c r="A36" s="54" t="s">
        <v>1917</v>
      </c>
      <c r="B36" s="54" t="s">
        <v>1939</v>
      </c>
      <c r="C36" s="54">
        <v>6</v>
      </c>
      <c r="D36" s="54" t="str">
        <f t="shared" si="0"/>
        <v>IT project management::6::Assess the effectiveness of planning for the visual elements of a project</v>
      </c>
      <c r="E36" s="54" t="s">
        <v>1957</v>
      </c>
      <c r="F36" s="54" t="s">
        <v>1941</v>
      </c>
      <c r="G36" s="54" t="s">
        <v>1179</v>
      </c>
      <c r="H36" s="54" t="s">
        <v>1083</v>
      </c>
    </row>
    <row r="37" spans="1:8" ht="15.75" customHeight="1">
      <c r="A37" s="54" t="s">
        <v>1917</v>
      </c>
      <c r="B37" s="54" t="s">
        <v>1939</v>
      </c>
      <c r="C37" s="54">
        <v>7</v>
      </c>
      <c r="D37" s="54" t="str">
        <f t="shared" si="0"/>
        <v>IT project management::7::Evaluate the overall success of a completed project</v>
      </c>
      <c r="E37" s="54" t="s">
        <v>1958</v>
      </c>
      <c r="F37" s="54" t="s">
        <v>1941</v>
      </c>
      <c r="G37" s="54" t="s">
        <v>15</v>
      </c>
      <c r="H37" s="54" t="s">
        <v>1083</v>
      </c>
    </row>
    <row r="38" spans="1:8" ht="15.75" customHeight="1">
      <c r="A38" s="54" t="s">
        <v>1917</v>
      </c>
      <c r="B38" s="54" t="s">
        <v>1939</v>
      </c>
      <c r="C38" s="54">
        <v>7</v>
      </c>
      <c r="D38" s="54" t="str">
        <f t="shared" si="0"/>
        <v>IT project management::7::Test the effectiveness of developed products</v>
      </c>
      <c r="E38" s="54" t="s">
        <v>1959</v>
      </c>
      <c r="F38" s="54" t="s">
        <v>1941</v>
      </c>
      <c r="G38" s="54" t="s">
        <v>15</v>
      </c>
      <c r="H38" s="54" t="s">
        <v>1083</v>
      </c>
    </row>
    <row r="39" spans="1:8" ht="15.75" customHeight="1">
      <c r="A39" s="54" t="s">
        <v>1917</v>
      </c>
      <c r="B39" s="54" t="s">
        <v>1939</v>
      </c>
      <c r="C39" s="54">
        <v>8</v>
      </c>
      <c r="D39" s="54" t="str">
        <f t="shared" si="0"/>
        <v>IT project management::8::Identify the user requirements of a project</v>
      </c>
      <c r="E39" s="54" t="s">
        <v>1945</v>
      </c>
      <c r="F39" s="54" t="s">
        <v>1941</v>
      </c>
      <c r="G39" s="54" t="s">
        <v>15</v>
      </c>
      <c r="H39" s="54" t="s">
        <v>1083</v>
      </c>
    </row>
    <row r="40" spans="1:8" ht="15.75" customHeight="1">
      <c r="A40" s="54" t="s">
        <v>1917</v>
      </c>
      <c r="B40" s="54" t="s">
        <v>1939</v>
      </c>
      <c r="C40" s="54">
        <v>8</v>
      </c>
      <c r="D40" s="54" t="str">
        <f t="shared" si="0"/>
        <v>IT project management::8::Evaluate the constraints of a project</v>
      </c>
      <c r="E40" s="54" t="s">
        <v>1946</v>
      </c>
      <c r="F40" s="54" t="s">
        <v>1941</v>
      </c>
      <c r="G40" s="54" t="s">
        <v>15</v>
      </c>
      <c r="H40" s="54" t="s">
        <v>1083</v>
      </c>
    </row>
    <row r="41" spans="1:8" ht="15.75" customHeight="1">
      <c r="A41" s="54" t="s">
        <v>1917</v>
      </c>
      <c r="B41" s="54" t="s">
        <v>1939</v>
      </c>
      <c r="C41" s="54">
        <v>8</v>
      </c>
      <c r="D41" s="54" t="str">
        <f t="shared" si="0"/>
        <v>IT project management::8::Develop documentation for the first stage of a project</v>
      </c>
      <c r="E41" s="54" t="s">
        <v>1960</v>
      </c>
      <c r="F41" s="54" t="s">
        <v>1941</v>
      </c>
      <c r="G41" s="54" t="s">
        <v>15</v>
      </c>
      <c r="H41" s="54" t="s">
        <v>1083</v>
      </c>
    </row>
    <row r="42" spans="1:8" ht="15.75" customHeight="1">
      <c r="A42" s="54" t="s">
        <v>1917</v>
      </c>
      <c r="B42" s="54" t="s">
        <v>1939</v>
      </c>
      <c r="C42" s="54">
        <v>9</v>
      </c>
      <c r="D42" s="54" t="str">
        <f t="shared" si="0"/>
        <v>IT project management::9::Create planning documents for a project</v>
      </c>
      <c r="E42" s="54" t="s">
        <v>1961</v>
      </c>
      <c r="F42" s="54" t="s">
        <v>1941</v>
      </c>
      <c r="G42" s="54" t="s">
        <v>15</v>
      </c>
      <c r="H42" s="54" t="s">
        <v>1083</v>
      </c>
    </row>
    <row r="43" spans="1:8" ht="15.75" customHeight="1">
      <c r="A43" s="54" t="s">
        <v>1917</v>
      </c>
      <c r="B43" s="54" t="s">
        <v>1939</v>
      </c>
      <c r="C43" s="54">
        <v>9</v>
      </c>
      <c r="D43" s="54" t="str">
        <f t="shared" si="0"/>
        <v>IT project management::9::Create project products</v>
      </c>
      <c r="E43" s="54" t="s">
        <v>1962</v>
      </c>
      <c r="F43" s="54" t="s">
        <v>1941</v>
      </c>
      <c r="G43" s="54" t="s">
        <v>15</v>
      </c>
      <c r="H43" s="54" t="s">
        <v>1083</v>
      </c>
    </row>
    <row r="44" spans="1:8" ht="15.75" customHeight="1">
      <c r="A44" s="54" t="s">
        <v>1917</v>
      </c>
      <c r="B44" s="54" t="s">
        <v>1939</v>
      </c>
      <c r="C44" s="54">
        <v>9</v>
      </c>
      <c r="D44" s="54" t="str">
        <f t="shared" si="0"/>
        <v>IT project management::9::Develop testing documentation</v>
      </c>
      <c r="E44" s="54" t="s">
        <v>1963</v>
      </c>
      <c r="F44" s="54" t="s">
        <v>1941</v>
      </c>
      <c r="G44" s="54" t="s">
        <v>15</v>
      </c>
      <c r="H44" s="54" t="s">
        <v>1083</v>
      </c>
    </row>
    <row r="45" spans="1:8" ht="15.75" customHeight="1">
      <c r="A45" s="54" t="s">
        <v>1917</v>
      </c>
      <c r="B45" s="54" t="s">
        <v>1939</v>
      </c>
      <c r="C45" s="54">
        <v>10</v>
      </c>
      <c r="D45" s="54" t="str">
        <f t="shared" si="0"/>
        <v>IT project management::10::Evaluate a completed project</v>
      </c>
      <c r="E45" s="54" t="s">
        <v>1964</v>
      </c>
      <c r="F45" s="54" t="s">
        <v>1941</v>
      </c>
      <c r="G45" s="54" t="s">
        <v>15</v>
      </c>
      <c r="H45" s="54" t="s">
        <v>1083</v>
      </c>
    </row>
    <row r="46" spans="1:8" ht="15.75" customHeight="1">
      <c r="A46" s="54" t="s">
        <v>1917</v>
      </c>
      <c r="B46" s="54" t="s">
        <v>1965</v>
      </c>
      <c r="C46" s="54">
        <v>1</v>
      </c>
      <c r="D46" s="54" t="str">
        <f t="shared" si="0"/>
        <v>Media::1::Describe the term ‘pre-production’</v>
      </c>
      <c r="E46" s="54" t="s">
        <v>1966</v>
      </c>
      <c r="F46" s="54">
        <v>4.0999999999999996</v>
      </c>
      <c r="G46" s="54" t="s">
        <v>15</v>
      </c>
      <c r="H46" s="54" t="s">
        <v>1083</v>
      </c>
    </row>
    <row r="47" spans="1:8" ht="15.75" customHeight="1">
      <c r="A47" s="54" t="s">
        <v>1917</v>
      </c>
      <c r="B47" s="54" t="s">
        <v>1965</v>
      </c>
      <c r="C47" s="54">
        <v>1</v>
      </c>
      <c r="D47" s="54" t="str">
        <f t="shared" si="0"/>
        <v>Media::1::Compare planning tools available for pre-production</v>
      </c>
      <c r="E47" s="54" t="s">
        <v>1967</v>
      </c>
      <c r="F47" s="54">
        <v>4.0999999999999996</v>
      </c>
      <c r="G47" s="54" t="s">
        <v>1681</v>
      </c>
      <c r="H47" s="54" t="s">
        <v>1083</v>
      </c>
    </row>
    <row r="48" spans="1:8" ht="13">
      <c r="A48" s="54" t="s">
        <v>1917</v>
      </c>
      <c r="B48" s="54" t="s">
        <v>1965</v>
      </c>
      <c r="C48" s="54">
        <v>1</v>
      </c>
      <c r="D48" s="54" t="str">
        <f t="shared" si="0"/>
        <v>Media::1::Create pre-production planning materials</v>
      </c>
      <c r="E48" s="54" t="s">
        <v>1968</v>
      </c>
      <c r="F48" s="54">
        <v>4.0999999999999996</v>
      </c>
      <c r="G48" s="54" t="s">
        <v>15</v>
      </c>
      <c r="H48" s="54" t="s">
        <v>1083</v>
      </c>
    </row>
    <row r="49" spans="1:8" ht="13">
      <c r="A49" s="54" t="s">
        <v>1917</v>
      </c>
      <c r="B49" s="54" t="s">
        <v>1965</v>
      </c>
      <c r="C49" s="54">
        <v>2</v>
      </c>
      <c r="D49" s="54" t="str">
        <f t="shared" si="0"/>
        <v>Media::2::Describe the two main types of digital graphics: raster and vector</v>
      </c>
      <c r="E49" s="54" t="s">
        <v>1969</v>
      </c>
      <c r="F49" s="54">
        <v>4.0999999999999996</v>
      </c>
      <c r="G49" s="54" t="s">
        <v>1193</v>
      </c>
      <c r="H49" s="54" t="s">
        <v>1083</v>
      </c>
    </row>
    <row r="50" spans="1:8" ht="13">
      <c r="A50" s="54" t="s">
        <v>1917</v>
      </c>
      <c r="B50" s="54" t="s">
        <v>1965</v>
      </c>
      <c r="C50" s="54">
        <v>2</v>
      </c>
      <c r="D50" s="54" t="str">
        <f t="shared" si="0"/>
        <v>Media::2::Name associated file formats for types of digital graphics</v>
      </c>
      <c r="E50" s="54" t="s">
        <v>1970</v>
      </c>
      <c r="F50" s="54">
        <v>4.0999999999999996</v>
      </c>
      <c r="G50" s="54" t="s">
        <v>9</v>
      </c>
      <c r="H50" s="54" t="s">
        <v>1083</v>
      </c>
    </row>
    <row r="51" spans="1:8" ht="13">
      <c r="A51" s="54" t="s">
        <v>1917</v>
      </c>
      <c r="B51" s="54" t="s">
        <v>1965</v>
      </c>
      <c r="C51" s="54">
        <v>2</v>
      </c>
      <c r="D51" s="54" t="str">
        <f t="shared" si="0"/>
        <v>Media::2::Utilise open source software to create both types of digital graphics</v>
      </c>
      <c r="E51" s="54" t="s">
        <v>1971</v>
      </c>
      <c r="F51" s="54">
        <v>4.0999999999999996</v>
      </c>
      <c r="G51" s="54" t="s">
        <v>1082</v>
      </c>
      <c r="H51" s="54" t="s">
        <v>1083</v>
      </c>
    </row>
    <row r="52" spans="1:8" ht="13">
      <c r="A52" s="54" t="s">
        <v>1917</v>
      </c>
      <c r="B52" s="54" t="s">
        <v>1965</v>
      </c>
      <c r="C52" s="54">
        <v>2</v>
      </c>
      <c r="D52" s="54" t="str">
        <f t="shared" si="0"/>
        <v>Media::2::Identify the resources required for creating digital graphics</v>
      </c>
      <c r="E52" s="54" t="s">
        <v>1972</v>
      </c>
      <c r="F52" s="54">
        <v>4.0999999999999996</v>
      </c>
      <c r="G52" s="54" t="s">
        <v>1082</v>
      </c>
      <c r="H52" s="54" t="s">
        <v>1083</v>
      </c>
    </row>
    <row r="53" spans="1:8" ht="13">
      <c r="A53" s="54" t="s">
        <v>1917</v>
      </c>
      <c r="B53" s="54" t="s">
        <v>1965</v>
      </c>
      <c r="C53" s="54">
        <v>2</v>
      </c>
      <c r="D53" s="54" t="str">
        <f t="shared" si="0"/>
        <v>Media::2::Recognise the legislation regarding use of digital graphics</v>
      </c>
      <c r="E53" s="54" t="s">
        <v>1973</v>
      </c>
      <c r="F53" s="54">
        <v>4.0999999999999996</v>
      </c>
      <c r="G53" s="54" t="s">
        <v>1460</v>
      </c>
      <c r="H53" s="54" t="s">
        <v>1083</v>
      </c>
    </row>
    <row r="54" spans="1:8" ht="13">
      <c r="A54" s="54" t="s">
        <v>1917</v>
      </c>
      <c r="B54" s="54" t="s">
        <v>1965</v>
      </c>
      <c r="C54" s="54">
        <v>3</v>
      </c>
      <c r="D54" s="54" t="str">
        <f t="shared" si="0"/>
        <v>Media::3::Name the different camera angles used in video production</v>
      </c>
      <c r="E54" s="54" t="s">
        <v>1974</v>
      </c>
      <c r="F54" s="54">
        <v>4.0999999999999996</v>
      </c>
      <c r="G54" s="54" t="s">
        <v>9</v>
      </c>
      <c r="H54" s="54" t="s">
        <v>1083</v>
      </c>
    </row>
    <row r="55" spans="1:8" ht="13">
      <c r="A55" s="54" t="s">
        <v>1917</v>
      </c>
      <c r="B55" s="54" t="s">
        <v>1965</v>
      </c>
      <c r="C55" s="54">
        <v>3</v>
      </c>
      <c r="D55" s="54" t="str">
        <f t="shared" si="0"/>
        <v>Media::3::Recognise different file formats and properties of digital video</v>
      </c>
      <c r="E55" s="54" t="s">
        <v>1975</v>
      </c>
      <c r="F55" s="54">
        <v>4.0999999999999996</v>
      </c>
      <c r="G55" s="54" t="s">
        <v>9</v>
      </c>
      <c r="H55" s="54" t="s">
        <v>1083</v>
      </c>
    </row>
    <row r="56" spans="1:8" ht="13">
      <c r="A56" s="54" t="s">
        <v>1917</v>
      </c>
      <c r="B56" s="54" t="s">
        <v>1965</v>
      </c>
      <c r="C56" s="54">
        <v>3</v>
      </c>
      <c r="D56" s="54" t="str">
        <f t="shared" si="0"/>
        <v>Media::3::Utilise the software required for digital video creation</v>
      </c>
      <c r="E56" s="54" t="s">
        <v>1976</v>
      </c>
      <c r="F56" s="54">
        <v>4.0999999999999996</v>
      </c>
      <c r="G56" s="54" t="s">
        <v>1082</v>
      </c>
      <c r="H56" s="54" t="s">
        <v>1083</v>
      </c>
    </row>
    <row r="57" spans="1:8" ht="13">
      <c r="A57" s="54" t="s">
        <v>1917</v>
      </c>
      <c r="B57" s="54" t="s">
        <v>1965</v>
      </c>
      <c r="C57" s="54">
        <v>4</v>
      </c>
      <c r="D57" s="54" t="str">
        <f t="shared" si="0"/>
        <v>Media::4::Discuss the features and properties of websites</v>
      </c>
      <c r="E57" s="54" t="s">
        <v>1977</v>
      </c>
      <c r="F57" s="54">
        <v>4.0999999999999996</v>
      </c>
      <c r="G57" s="54" t="s">
        <v>1342</v>
      </c>
      <c r="H57" s="54" t="s">
        <v>1083</v>
      </c>
    </row>
    <row r="58" spans="1:8" ht="13">
      <c r="A58" s="54" t="s">
        <v>1917</v>
      </c>
      <c r="B58" s="54" t="s">
        <v>1965</v>
      </c>
      <c r="C58" s="54">
        <v>4</v>
      </c>
      <c r="D58" s="54" t="str">
        <f t="shared" si="0"/>
        <v>Media::4::Plan a multi-page website</v>
      </c>
      <c r="E58" s="54" t="s">
        <v>1978</v>
      </c>
      <c r="F58" s="54">
        <v>4.0999999999999996</v>
      </c>
      <c r="G58" s="54" t="s">
        <v>1539</v>
      </c>
      <c r="H58" s="54" t="s">
        <v>1083</v>
      </c>
    </row>
    <row r="59" spans="1:8" ht="13">
      <c r="A59" s="54" t="s">
        <v>1917</v>
      </c>
      <c r="B59" s="54" t="s">
        <v>1965</v>
      </c>
      <c r="C59" s="54">
        <v>4</v>
      </c>
      <c r="D59" s="54" t="str">
        <f t="shared" si="0"/>
        <v>Media::4::Create a multi-page website using open source tools</v>
      </c>
      <c r="E59" s="54" t="s">
        <v>1979</v>
      </c>
      <c r="F59" s="54">
        <v>4.0999999999999996</v>
      </c>
      <c r="G59" s="54" t="s">
        <v>1549</v>
      </c>
      <c r="H59" s="54" t="s">
        <v>1083</v>
      </c>
    </row>
    <row r="60" spans="1:8" ht="13">
      <c r="A60" s="54" t="s">
        <v>1917</v>
      </c>
      <c r="B60" s="54" t="s">
        <v>1965</v>
      </c>
      <c r="C60" s="54">
        <v>5</v>
      </c>
      <c r="D60" s="54" t="str">
        <f t="shared" si="0"/>
        <v>Media::5::Plan a digital media artefact from a selected client brief</v>
      </c>
      <c r="E60" s="54" t="s">
        <v>1980</v>
      </c>
      <c r="F60" s="54">
        <v>4.0999999999999996</v>
      </c>
      <c r="G60" s="54" t="s">
        <v>1090</v>
      </c>
      <c r="H60" s="54" t="s">
        <v>1083</v>
      </c>
    </row>
    <row r="61" spans="1:8" ht="13">
      <c r="A61" s="54" t="s">
        <v>1917</v>
      </c>
      <c r="B61" s="54" t="s">
        <v>1965</v>
      </c>
      <c r="C61" s="54">
        <v>6</v>
      </c>
      <c r="D61" s="54" t="str">
        <f t="shared" si="0"/>
        <v>Media::6::Create media artefacts</v>
      </c>
      <c r="E61" s="54" t="s">
        <v>1981</v>
      </c>
      <c r="F61" s="54">
        <v>4.0999999999999996</v>
      </c>
      <c r="G61" s="54" t="s">
        <v>1090</v>
      </c>
      <c r="H61" s="54" t="s">
        <v>1083</v>
      </c>
    </row>
    <row r="62" spans="1:8" ht="13">
      <c r="A62" s="54" t="s">
        <v>1917</v>
      </c>
      <c r="B62" s="54" t="s">
        <v>1965</v>
      </c>
      <c r="C62" s="54">
        <v>7</v>
      </c>
      <c r="D62" s="54" t="str">
        <f t="shared" si="0"/>
        <v>Media::7::Evaluate design decisions for media artefacts</v>
      </c>
      <c r="E62" s="54" t="s">
        <v>1982</v>
      </c>
      <c r="F62" s="54">
        <v>4.0999999999999996</v>
      </c>
      <c r="G62" s="54" t="s">
        <v>1090</v>
      </c>
      <c r="H62" s="54" t="s">
        <v>1083</v>
      </c>
    </row>
    <row r="63" spans="1:8" ht="13">
      <c r="A63" s="54" t="s">
        <v>1917</v>
      </c>
      <c r="B63" s="54" t="s">
        <v>123</v>
      </c>
      <c r="C63" s="54">
        <v>1</v>
      </c>
      <c r="D63" s="54" t="str">
        <f t="shared" si="0"/>
        <v>Object-oriented programming::1::Describe the role of conventions in programming</v>
      </c>
      <c r="E63" s="54" t="s">
        <v>1983</v>
      </c>
      <c r="F63" s="54" t="s">
        <v>1941</v>
      </c>
      <c r="G63" s="54" t="s">
        <v>27</v>
      </c>
      <c r="H63" s="54" t="s">
        <v>1083</v>
      </c>
    </row>
    <row r="64" spans="1:8" ht="13">
      <c r="A64" s="54" t="s">
        <v>1917</v>
      </c>
      <c r="B64" s="54" t="s">
        <v>123</v>
      </c>
      <c r="C64" s="54">
        <v>1</v>
      </c>
      <c r="D64" s="54" t="str">
        <f t="shared" si="0"/>
        <v>Object-oriented programming::1::Recall that there are different paradigms for programming</v>
      </c>
      <c r="E64" s="54" t="s">
        <v>1984</v>
      </c>
      <c r="F64" s="54" t="s">
        <v>1941</v>
      </c>
      <c r="G64" s="54" t="s">
        <v>27</v>
      </c>
      <c r="H64" s="54" t="s">
        <v>1083</v>
      </c>
    </row>
    <row r="65" spans="1:8" ht="13">
      <c r="A65" s="54" t="s">
        <v>1917</v>
      </c>
      <c r="B65" s="54" t="s">
        <v>123</v>
      </c>
      <c r="C65" s="54">
        <v>1</v>
      </c>
      <c r="D65" s="54" t="str">
        <f t="shared" si="0"/>
        <v>Object-oriented programming::1::Define object-oriented programming</v>
      </c>
      <c r="E65" s="54" t="s">
        <v>1985</v>
      </c>
      <c r="F65" s="54" t="s">
        <v>1941</v>
      </c>
      <c r="G65" s="54" t="s">
        <v>27</v>
      </c>
      <c r="H65" s="54" t="s">
        <v>1083</v>
      </c>
    </row>
    <row r="66" spans="1:8" ht="13">
      <c r="A66" s="54" t="s">
        <v>1917</v>
      </c>
      <c r="B66" s="54" t="s">
        <v>123</v>
      </c>
      <c r="C66" s="54">
        <v>1</v>
      </c>
      <c r="D66" s="54" t="str">
        <f t="shared" si="0"/>
        <v>Object-oriented programming::1::Identify a class and object as a part of a program</v>
      </c>
      <c r="E66" s="54" t="s">
        <v>1986</v>
      </c>
      <c r="F66" s="54" t="s">
        <v>1941</v>
      </c>
      <c r="G66" s="54" t="s">
        <v>27</v>
      </c>
      <c r="H66" s="54" t="s">
        <v>1083</v>
      </c>
    </row>
    <row r="67" spans="1:8" ht="13">
      <c r="A67" s="54" t="s">
        <v>1917</v>
      </c>
      <c r="B67" s="54" t="s">
        <v>123</v>
      </c>
      <c r="C67" s="54">
        <v>2</v>
      </c>
      <c r="D67" s="54" t="str">
        <f t="shared" si="0"/>
        <v>Object-oriented programming::2::Describe the relationship between a class and an object</v>
      </c>
      <c r="E67" s="54" t="s">
        <v>1987</v>
      </c>
      <c r="F67" s="54" t="s">
        <v>1941</v>
      </c>
      <c r="G67" s="54" t="s">
        <v>27</v>
      </c>
      <c r="H67" s="54" t="s">
        <v>1083</v>
      </c>
    </row>
    <row r="68" spans="1:8" ht="13">
      <c r="A68" s="54" t="s">
        <v>1917</v>
      </c>
      <c r="B68" s="54" t="s">
        <v>123</v>
      </c>
      <c r="C68" s="54">
        <v>2</v>
      </c>
      <c r="D68" s="54" t="str">
        <f t="shared" si="0"/>
        <v>Object-oriented programming::2::Define attributes and methods as a part of a class</v>
      </c>
      <c r="E68" s="54" t="s">
        <v>1988</v>
      </c>
      <c r="F68" s="54" t="s">
        <v>1941</v>
      </c>
      <c r="G68" s="54" t="s">
        <v>27</v>
      </c>
      <c r="H68" s="54" t="s">
        <v>1083</v>
      </c>
    </row>
    <row r="69" spans="1:8" ht="13">
      <c r="A69" s="54" t="s">
        <v>1917</v>
      </c>
      <c r="B69" s="54" t="s">
        <v>123</v>
      </c>
      <c r="C69" s="54">
        <v>2</v>
      </c>
      <c r="D69" s="54" t="str">
        <f t="shared" si="0"/>
        <v>Object-oriented programming::2::Use a constructor to create objects</v>
      </c>
      <c r="E69" s="54" t="s">
        <v>1989</v>
      </c>
      <c r="F69" s="54" t="s">
        <v>1941</v>
      </c>
      <c r="G69" s="54" t="s">
        <v>27</v>
      </c>
      <c r="H69" s="54" t="s">
        <v>1083</v>
      </c>
    </row>
    <row r="70" spans="1:8" ht="13">
      <c r="A70" s="54" t="s">
        <v>1917</v>
      </c>
      <c r="B70" s="54" t="s">
        <v>123</v>
      </c>
      <c r="C70" s="54">
        <v>2</v>
      </c>
      <c r="D70" s="54" t="str">
        <f t="shared" si="0"/>
        <v>Object-oriented programming::2::Use a method and access an attribute on an object</v>
      </c>
      <c r="E70" s="54" t="s">
        <v>1990</v>
      </c>
      <c r="F70" s="54" t="s">
        <v>1941</v>
      </c>
      <c r="G70" s="54" t="s">
        <v>27</v>
      </c>
      <c r="H70" s="54" t="s">
        <v>1083</v>
      </c>
    </row>
    <row r="71" spans="1:8" ht="13">
      <c r="A71" s="54" t="s">
        <v>1917</v>
      </c>
      <c r="B71" s="54" t="s">
        <v>123</v>
      </c>
      <c r="C71" s="54">
        <v>2</v>
      </c>
      <c r="D71" s="54" t="str">
        <f t="shared" si="0"/>
        <v>Object-oriented programming::2::Model a real world problem using object oriented programming conventions</v>
      </c>
      <c r="E71" s="54" t="s">
        <v>1991</v>
      </c>
      <c r="F71" s="54" t="s">
        <v>1941</v>
      </c>
      <c r="G71" s="54" t="s">
        <v>1150</v>
      </c>
      <c r="H71" s="54" t="s">
        <v>1083</v>
      </c>
    </row>
    <row r="72" spans="1:8" ht="13">
      <c r="A72" s="54" t="s">
        <v>1917</v>
      </c>
      <c r="B72" s="54" t="s">
        <v>123</v>
      </c>
      <c r="C72" s="54">
        <v>3</v>
      </c>
      <c r="D72" s="54" t="str">
        <f t="shared" si="0"/>
        <v>Object-oriented programming::3::Create a class</v>
      </c>
      <c r="E72" s="54" t="s">
        <v>1992</v>
      </c>
      <c r="F72" s="54" t="s">
        <v>1941</v>
      </c>
      <c r="G72" s="54" t="s">
        <v>27</v>
      </c>
      <c r="H72" s="54" t="s">
        <v>1083</v>
      </c>
    </row>
    <row r="73" spans="1:8" ht="13">
      <c r="A73" s="54" t="s">
        <v>1917</v>
      </c>
      <c r="B73" s="54" t="s">
        <v>123</v>
      </c>
      <c r="C73" s="54">
        <v>3</v>
      </c>
      <c r="D73" s="54" t="str">
        <f t="shared" si="0"/>
        <v>Object-oriented programming::3::Define the use of a self parameter in object-oriented Python</v>
      </c>
      <c r="E73" s="54" t="s">
        <v>1993</v>
      </c>
      <c r="F73" s="54" t="s">
        <v>1941</v>
      </c>
      <c r="G73" s="54" t="s">
        <v>27</v>
      </c>
      <c r="H73" s="54" t="s">
        <v>1083</v>
      </c>
    </row>
    <row r="74" spans="1:8" ht="13">
      <c r="A74" s="54" t="s">
        <v>1917</v>
      </c>
      <c r="B74" s="54" t="s">
        <v>123</v>
      </c>
      <c r="C74" s="54">
        <v>3</v>
      </c>
      <c r="D74" s="54" t="str">
        <f t="shared" si="0"/>
        <v>Object-oriented programming::3::Create a method on a class</v>
      </c>
      <c r="E74" s="54" t="s">
        <v>1994</v>
      </c>
      <c r="F74" s="54" t="s">
        <v>1941</v>
      </c>
      <c r="G74" s="54" t="s">
        <v>27</v>
      </c>
      <c r="H74" s="54" t="s">
        <v>1083</v>
      </c>
    </row>
    <row r="75" spans="1:8" ht="13">
      <c r="A75" s="54" t="s">
        <v>1917</v>
      </c>
      <c r="B75" s="54" t="s">
        <v>123</v>
      </c>
      <c r="C75" s="54">
        <v>3</v>
      </c>
      <c r="D75" s="54" t="str">
        <f t="shared" si="0"/>
        <v>Object-oriented programming::3::Access and modify attributes using getters and setters</v>
      </c>
      <c r="E75" s="54" t="s">
        <v>1995</v>
      </c>
      <c r="F75" s="54" t="s">
        <v>1941</v>
      </c>
      <c r="G75" s="54" t="s">
        <v>27</v>
      </c>
      <c r="H75" s="54" t="s">
        <v>1083</v>
      </c>
    </row>
    <row r="76" spans="1:8" ht="13">
      <c r="A76" s="54" t="s">
        <v>1917</v>
      </c>
      <c r="B76" s="54" t="s">
        <v>123</v>
      </c>
      <c r="C76" s="54">
        <v>4</v>
      </c>
      <c r="D76" s="54" t="str">
        <f t="shared" si="0"/>
        <v>Object-oriented programming::4::Define the principle of inheritance</v>
      </c>
      <c r="E76" s="54" t="s">
        <v>1996</v>
      </c>
      <c r="F76" s="54" t="s">
        <v>1941</v>
      </c>
      <c r="G76" s="54" t="s">
        <v>27</v>
      </c>
      <c r="H76" s="54" t="s">
        <v>1083</v>
      </c>
    </row>
    <row r="77" spans="1:8" ht="13">
      <c r="A77" s="54" t="s">
        <v>1917</v>
      </c>
      <c r="B77" s="54" t="s">
        <v>123</v>
      </c>
      <c r="C77" s="54">
        <v>4</v>
      </c>
      <c r="D77" s="54" t="str">
        <f t="shared" si="0"/>
        <v>Object-oriented programming::4::Define the terms superclass and subclass</v>
      </c>
      <c r="E77" s="54" t="s">
        <v>1997</v>
      </c>
      <c r="F77" s="54" t="s">
        <v>1941</v>
      </c>
      <c r="G77" s="54" t="s">
        <v>27</v>
      </c>
      <c r="H77" s="54" t="s">
        <v>1083</v>
      </c>
    </row>
    <row r="78" spans="1:8" ht="13">
      <c r="A78" s="54" t="s">
        <v>1917</v>
      </c>
      <c r="B78" s="54" t="s">
        <v>123</v>
      </c>
      <c r="C78" s="54">
        <v>4</v>
      </c>
      <c r="D78" s="54" t="str">
        <f t="shared" si="0"/>
        <v>Object-oriented programming::4::Select appropriate uses of inheritance</v>
      </c>
      <c r="E78" s="54" t="s">
        <v>1998</v>
      </c>
      <c r="F78" s="54" t="s">
        <v>1941</v>
      </c>
      <c r="G78" s="54" t="s">
        <v>27</v>
      </c>
      <c r="H78" s="54" t="s">
        <v>1083</v>
      </c>
    </row>
    <row r="79" spans="1:8" ht="13">
      <c r="A79" s="54" t="s">
        <v>1917</v>
      </c>
      <c r="B79" s="54" t="s">
        <v>123</v>
      </c>
      <c r="C79" s="54">
        <v>4</v>
      </c>
      <c r="D79" s="54" t="str">
        <f t="shared" si="0"/>
        <v>Object-oriented programming::4::Create a subclass in a program</v>
      </c>
      <c r="E79" s="54" t="s">
        <v>1999</v>
      </c>
      <c r="F79" s="54" t="s">
        <v>1941</v>
      </c>
      <c r="G79" s="54" t="s">
        <v>27</v>
      </c>
      <c r="H79" s="54" t="s">
        <v>1083</v>
      </c>
    </row>
    <row r="80" spans="1:8" ht="13">
      <c r="A80" s="54" t="s">
        <v>1917</v>
      </c>
      <c r="B80" s="54" t="s">
        <v>123</v>
      </c>
      <c r="C80" s="54">
        <v>5</v>
      </c>
      <c r="D80" s="54" t="str">
        <f t="shared" si="0"/>
        <v>Object-oriented programming::5::Explore a program written using OOP</v>
      </c>
      <c r="E80" s="54" t="s">
        <v>2000</v>
      </c>
      <c r="F80" s="54" t="s">
        <v>1941</v>
      </c>
      <c r="G80" s="54" t="s">
        <v>27</v>
      </c>
      <c r="H80" s="54" t="s">
        <v>1083</v>
      </c>
    </row>
    <row r="81" spans="1:8" ht="13">
      <c r="A81" s="54" t="s">
        <v>1917</v>
      </c>
      <c r="B81" s="54" t="s">
        <v>123</v>
      </c>
      <c r="C81" s="54">
        <v>5</v>
      </c>
      <c r="D81" s="54" t="str">
        <f t="shared" si="0"/>
        <v>Object-oriented programming::5::Explain the key concepts of OOP</v>
      </c>
      <c r="E81" s="54" t="s">
        <v>2001</v>
      </c>
      <c r="F81" s="54" t="s">
        <v>1941</v>
      </c>
      <c r="G81" s="54" t="s">
        <v>27</v>
      </c>
      <c r="H81" s="54" t="s">
        <v>1083</v>
      </c>
    </row>
    <row r="82" spans="1:8" ht="13">
      <c r="A82" s="54" t="s">
        <v>1917</v>
      </c>
      <c r="B82" s="54" t="s">
        <v>2002</v>
      </c>
      <c r="C82" s="54">
        <v>1</v>
      </c>
      <c r="D82" s="54" t="str">
        <f t="shared" si="0"/>
        <v>Online safety::1::Discuss the main safety concerns of being online</v>
      </c>
      <c r="E82" s="54" t="s">
        <v>2003</v>
      </c>
      <c r="F82" s="54">
        <v>4.3</v>
      </c>
      <c r="G82" s="54" t="s">
        <v>34</v>
      </c>
      <c r="H82" s="54" t="s">
        <v>60</v>
      </c>
    </row>
    <row r="83" spans="1:8" ht="13">
      <c r="A83" s="54" t="s">
        <v>1917</v>
      </c>
      <c r="B83" s="54" t="s">
        <v>2002</v>
      </c>
      <c r="C83" s="54">
        <v>1</v>
      </c>
      <c r="D83" s="54" t="str">
        <f t="shared" si="0"/>
        <v>Online safety::1::Reflect on online activity from a safety perspective</v>
      </c>
      <c r="E83" s="54" t="s">
        <v>2004</v>
      </c>
      <c r="F83" s="54">
        <v>4.3</v>
      </c>
      <c r="G83" s="54" t="s">
        <v>34</v>
      </c>
      <c r="H83" s="54" t="s">
        <v>60</v>
      </c>
    </row>
    <row r="84" spans="1:8" ht="13">
      <c r="A84" s="54" t="s">
        <v>1917</v>
      </c>
      <c r="B84" s="54" t="s">
        <v>2002</v>
      </c>
      <c r="C84" s="54">
        <v>2</v>
      </c>
      <c r="D84" s="54" t="str">
        <f t="shared" si="0"/>
        <v>Online safety::2::Define online reputation and discuss what it is made up of</v>
      </c>
      <c r="E84" s="54" t="s">
        <v>2005</v>
      </c>
      <c r="F84" s="54">
        <v>4.3</v>
      </c>
      <c r="G84" s="54" t="s">
        <v>34</v>
      </c>
      <c r="H84" s="54" t="s">
        <v>60</v>
      </c>
    </row>
    <row r="85" spans="1:8" ht="13">
      <c r="A85" s="54" t="s">
        <v>1917</v>
      </c>
      <c r="B85" s="54" t="s">
        <v>2002</v>
      </c>
      <c r="C85" s="54">
        <v>2</v>
      </c>
      <c r="D85" s="54" t="str">
        <f t="shared" si="0"/>
        <v>Online safety::2::Discuss techniques on how to build a positive online reputation</v>
      </c>
      <c r="E85" s="54" t="s">
        <v>2006</v>
      </c>
      <c r="F85" s="54">
        <v>4.3</v>
      </c>
      <c r="G85" s="54" t="s">
        <v>34</v>
      </c>
      <c r="H85" s="54" t="s">
        <v>60</v>
      </c>
    </row>
    <row r="86" spans="1:8" ht="13">
      <c r="A86" s="54" t="s">
        <v>1917</v>
      </c>
      <c r="B86" s="54" t="s">
        <v>2002</v>
      </c>
      <c r="C86" s="54">
        <v>2</v>
      </c>
      <c r="D86" s="54" t="str">
        <f t="shared" si="0"/>
        <v>Online safety::2::Discuss the ways in which one’s online reputation might be under threat and how to defend it</v>
      </c>
      <c r="E86" s="54" t="s">
        <v>2007</v>
      </c>
      <c r="F86" s="54">
        <v>4.3</v>
      </c>
      <c r="G86" s="54" t="s">
        <v>34</v>
      </c>
      <c r="H86" s="54" t="s">
        <v>60</v>
      </c>
    </row>
    <row r="87" spans="1:8" ht="13">
      <c r="A87" s="54" t="s">
        <v>1917</v>
      </c>
      <c r="B87" s="54" t="s">
        <v>2002</v>
      </c>
      <c r="C87" s="54">
        <v>3</v>
      </c>
      <c r="D87" s="54" t="str">
        <f t="shared" si="0"/>
        <v>Online safety::3::Define the terms ‘big data’ and ‘data analytics’</v>
      </c>
      <c r="E87" s="54" t="s">
        <v>2008</v>
      </c>
      <c r="F87" s="54">
        <v>4.3</v>
      </c>
      <c r="G87" s="54" t="s">
        <v>12</v>
      </c>
      <c r="H87" s="54" t="s">
        <v>60</v>
      </c>
    </row>
    <row r="88" spans="1:8" ht="13">
      <c r="A88" s="54" t="s">
        <v>1917</v>
      </c>
      <c r="B88" s="54" t="s">
        <v>2002</v>
      </c>
      <c r="C88" s="54">
        <v>3</v>
      </c>
      <c r="D88" s="54" t="str">
        <f t="shared" si="0"/>
        <v>Online safety::3::Discuss the ethics of big data use</v>
      </c>
      <c r="E88" s="54" t="s">
        <v>2009</v>
      </c>
      <c r="F88" s="54">
        <v>4.3</v>
      </c>
      <c r="G88" s="54" t="s">
        <v>1834</v>
      </c>
      <c r="H88" s="54" t="s">
        <v>60</v>
      </c>
    </row>
    <row r="89" spans="1:8" ht="13">
      <c r="A89" s="54" t="s">
        <v>1917</v>
      </c>
      <c r="B89" s="54" t="s">
        <v>2002</v>
      </c>
      <c r="C89" s="54">
        <v>3</v>
      </c>
      <c r="D89" s="54" t="str">
        <f t="shared" si="0"/>
        <v>Online safety::3::Investigate the stakeholders who use big data and why</v>
      </c>
      <c r="E89" s="54" t="s">
        <v>2010</v>
      </c>
      <c r="F89" s="54">
        <v>4.3</v>
      </c>
      <c r="G89" s="54" t="s">
        <v>1834</v>
      </c>
      <c r="H89" s="54" t="s">
        <v>60</v>
      </c>
    </row>
    <row r="90" spans="1:8" ht="13">
      <c r="A90" s="54" t="s">
        <v>1917</v>
      </c>
      <c r="B90" s="54" t="s">
        <v>2002</v>
      </c>
      <c r="C90" s="54">
        <v>3</v>
      </c>
      <c r="D90" s="54" t="str">
        <f t="shared" si="0"/>
        <v>Online safety::3::Explain how data is collected on and how it is used</v>
      </c>
      <c r="E90" s="54" t="s">
        <v>2011</v>
      </c>
      <c r="F90" s="54">
        <v>4.3</v>
      </c>
      <c r="G90" s="54" t="s">
        <v>1812</v>
      </c>
      <c r="H90" s="54" t="s">
        <v>60</v>
      </c>
    </row>
    <row r="91" spans="1:8" ht="13">
      <c r="A91" s="54" t="s">
        <v>1917</v>
      </c>
      <c r="B91" s="54" t="s">
        <v>2002</v>
      </c>
      <c r="C91" s="54">
        <v>4</v>
      </c>
      <c r="D91" s="54" t="str">
        <f t="shared" si="0"/>
        <v>Online safety::4::Investigate the legal rights to privacy within the UK</v>
      </c>
      <c r="E91" s="54" t="s">
        <v>2012</v>
      </c>
      <c r="F91" s="54">
        <v>4.3</v>
      </c>
      <c r="G91" s="54" t="s">
        <v>21</v>
      </c>
      <c r="H91" s="54" t="s">
        <v>60</v>
      </c>
    </row>
    <row r="92" spans="1:8" ht="13">
      <c r="A92" s="54" t="s">
        <v>1917</v>
      </c>
      <c r="B92" s="54" t="s">
        <v>2002</v>
      </c>
      <c r="C92" s="54">
        <v>4</v>
      </c>
      <c r="D92" s="54" t="str">
        <f t="shared" si="0"/>
        <v>Online safety::4::Discuss which rights are believed to be upheld</v>
      </c>
      <c r="E92" s="54" t="s">
        <v>2013</v>
      </c>
      <c r="F92" s="54">
        <v>4.3</v>
      </c>
      <c r="G92" s="54" t="s">
        <v>21</v>
      </c>
      <c r="H92" s="54" t="s">
        <v>60</v>
      </c>
    </row>
    <row r="93" spans="1:8" ht="13">
      <c r="A93" s="54" t="s">
        <v>1917</v>
      </c>
      <c r="B93" s="54" t="s">
        <v>2002</v>
      </c>
      <c r="C93" s="54">
        <v>4</v>
      </c>
      <c r="D93" s="54" t="str">
        <f t="shared" si="0"/>
        <v>Online safety::4::Debate whether the right to privacy is important, why this might be the case, and if the right to privacy is in tension with any other rights</v>
      </c>
      <c r="E93" s="54" t="s">
        <v>2014</v>
      </c>
      <c r="F93" s="54">
        <v>4.3</v>
      </c>
      <c r="G93" s="54" t="s">
        <v>21</v>
      </c>
      <c r="H93" s="54" t="s">
        <v>60</v>
      </c>
    </row>
    <row r="94" spans="1:8" ht="13">
      <c r="A94" s="54" t="s">
        <v>1917</v>
      </c>
      <c r="B94" s="54" t="s">
        <v>2002</v>
      </c>
      <c r="C94" s="54">
        <v>5</v>
      </c>
      <c r="D94" s="54" t="str">
        <f t="shared" si="0"/>
        <v>Online safety::5::Evaluate what data created online is valuable, and to whom</v>
      </c>
      <c r="E94" s="54" t="s">
        <v>2015</v>
      </c>
      <c r="F94" s="54">
        <v>4.3</v>
      </c>
      <c r="G94" s="54" t="s">
        <v>1834</v>
      </c>
      <c r="H94" s="54" t="s">
        <v>60</v>
      </c>
    </row>
    <row r="95" spans="1:8" ht="13">
      <c r="A95" s="54" t="s">
        <v>1917</v>
      </c>
      <c r="B95" s="54" t="s">
        <v>2002</v>
      </c>
      <c r="C95" s="54">
        <v>5</v>
      </c>
      <c r="D95" s="54" t="str">
        <f t="shared" si="0"/>
        <v>Online safety::5::Discuss ways in which data might be stolen</v>
      </c>
      <c r="E95" s="54" t="s">
        <v>2016</v>
      </c>
      <c r="F95" s="54">
        <v>4.3</v>
      </c>
      <c r="G95" s="54" t="s">
        <v>1812</v>
      </c>
      <c r="H95" s="54" t="s">
        <v>60</v>
      </c>
    </row>
    <row r="96" spans="1:8" ht="13">
      <c r="A96" s="54" t="s">
        <v>1917</v>
      </c>
      <c r="B96" s="54" t="s">
        <v>2002</v>
      </c>
      <c r="C96" s="54">
        <v>5</v>
      </c>
      <c r="D96" s="54" t="str">
        <f t="shared" si="0"/>
        <v>Online safety::5::Define terms ‘phishing’ and ‘malware’</v>
      </c>
      <c r="E96" s="54" t="s">
        <v>2017</v>
      </c>
      <c r="F96" s="54">
        <v>4.3</v>
      </c>
      <c r="G96" s="54" t="s">
        <v>34</v>
      </c>
      <c r="H96" s="54" t="s">
        <v>60</v>
      </c>
    </row>
    <row r="97" spans="1:8" ht="13">
      <c r="A97" s="54" t="s">
        <v>1917</v>
      </c>
      <c r="B97" s="54" t="s">
        <v>2002</v>
      </c>
      <c r="C97" s="54">
        <v>5</v>
      </c>
      <c r="D97" s="54" t="str">
        <f t="shared" si="0"/>
        <v>Online safety::5::Identify ways to protect one’s data online</v>
      </c>
      <c r="E97" s="54" t="s">
        <v>2018</v>
      </c>
      <c r="F97" s="54">
        <v>4.3</v>
      </c>
      <c r="G97" s="54" t="s">
        <v>34</v>
      </c>
      <c r="H97" s="54" t="s">
        <v>60</v>
      </c>
    </row>
    <row r="98" spans="1:8" ht="13">
      <c r="A98" s="54" t="s">
        <v>1917</v>
      </c>
      <c r="B98" s="54" t="s">
        <v>2002</v>
      </c>
      <c r="C98" s="54">
        <v>6</v>
      </c>
      <c r="D98" s="54" t="str">
        <f t="shared" si="0"/>
        <v>Online safety::6::Discuss examples of disinformation spread online</v>
      </c>
      <c r="E98" s="54" t="s">
        <v>2019</v>
      </c>
      <c r="F98" s="54">
        <v>4.3</v>
      </c>
      <c r="G98" s="54" t="s">
        <v>21</v>
      </c>
      <c r="H98" s="54" t="s">
        <v>60</v>
      </c>
    </row>
    <row r="99" spans="1:8" ht="13">
      <c r="A99" s="54" t="s">
        <v>1917</v>
      </c>
      <c r="B99" s="54" t="s">
        <v>2002</v>
      </c>
      <c r="C99" s="54">
        <v>6</v>
      </c>
      <c r="D99" s="54" t="str">
        <f t="shared" si="0"/>
        <v>Online safety::6::Define the term ‘fake news’ and discuss the quantity of fake news available online</v>
      </c>
      <c r="E99" s="54" t="s">
        <v>2020</v>
      </c>
      <c r="F99" s="54">
        <v>4.3</v>
      </c>
      <c r="G99" s="54" t="s">
        <v>21</v>
      </c>
      <c r="H99" s="54" t="s">
        <v>60</v>
      </c>
    </row>
    <row r="100" spans="1:8" ht="13">
      <c r="A100" s="54" t="s">
        <v>1917</v>
      </c>
      <c r="B100" s="54" t="s">
        <v>2002</v>
      </c>
      <c r="C100" s="54">
        <v>6</v>
      </c>
      <c r="D100" s="54" t="str">
        <f t="shared" si="0"/>
        <v>Online safety::6::Identify why fake news exists and who creates it</v>
      </c>
      <c r="E100" s="54" t="s">
        <v>2021</v>
      </c>
      <c r="F100" s="54">
        <v>4.3</v>
      </c>
      <c r="G100" s="54" t="s">
        <v>21</v>
      </c>
      <c r="H100" s="54" t="s">
        <v>60</v>
      </c>
    </row>
    <row r="101" spans="1:8" ht="13">
      <c r="A101" s="54" t="s">
        <v>1917</v>
      </c>
      <c r="B101" s="54" t="s">
        <v>2002</v>
      </c>
      <c r="C101" s="54">
        <v>6</v>
      </c>
      <c r="D101" s="54" t="str">
        <f t="shared" si="0"/>
        <v>Online safety::6::Discuss ways of identifying fake news and other forms of disinformation</v>
      </c>
      <c r="E101" s="54" t="s">
        <v>2022</v>
      </c>
      <c r="F101" s="54">
        <v>4.3</v>
      </c>
      <c r="G101" s="54" t="s">
        <v>21</v>
      </c>
      <c r="H101" s="54" t="s">
        <v>60</v>
      </c>
    </row>
    <row r="102" spans="1:8" ht="13">
      <c r="A102" s="54" t="s">
        <v>1917</v>
      </c>
      <c r="B102" s="54" t="s">
        <v>2002</v>
      </c>
      <c r="C102" s="54">
        <v>7</v>
      </c>
      <c r="D102" s="54" t="str">
        <f t="shared" si="0"/>
        <v>Online safety::7::Explain why some content online can be potentially harmful</v>
      </c>
      <c r="E102" s="54" t="s">
        <v>2023</v>
      </c>
      <c r="F102" s="54">
        <v>4.3</v>
      </c>
      <c r="G102" s="54" t="s">
        <v>21</v>
      </c>
      <c r="H102" s="54" t="s">
        <v>60</v>
      </c>
    </row>
    <row r="103" spans="1:8" ht="13">
      <c r="A103" s="54" t="s">
        <v>1917</v>
      </c>
      <c r="B103" s="54" t="s">
        <v>2002</v>
      </c>
      <c r="C103" s="54">
        <v>7</v>
      </c>
      <c r="D103" s="54" t="str">
        <f t="shared" si="0"/>
        <v>Online safety::7::Describe the UK laws governing online content</v>
      </c>
      <c r="E103" s="54" t="s">
        <v>2024</v>
      </c>
      <c r="F103" s="54">
        <v>4.3</v>
      </c>
      <c r="G103" s="54" t="s">
        <v>21</v>
      </c>
      <c r="H103" s="54" t="s">
        <v>60</v>
      </c>
    </row>
    <row r="104" spans="1:8" ht="13">
      <c r="A104" s="54" t="s">
        <v>1917</v>
      </c>
      <c r="B104" s="54" t="s">
        <v>2002</v>
      </c>
      <c r="C104" s="54">
        <v>7</v>
      </c>
      <c r="D104" s="54" t="str">
        <f t="shared" si="0"/>
        <v>Online safety::7::Discuss why policing online spaces can be difficult</v>
      </c>
      <c r="E104" s="54" t="s">
        <v>2025</v>
      </c>
      <c r="F104" s="54">
        <v>4.3</v>
      </c>
      <c r="G104" s="54" t="s">
        <v>1604</v>
      </c>
      <c r="H104" s="54" t="s">
        <v>60</v>
      </c>
    </row>
    <row r="105" spans="1:8" ht="13">
      <c r="A105" s="54" t="s">
        <v>1917</v>
      </c>
      <c r="B105" s="54" t="s">
        <v>2002</v>
      </c>
      <c r="C105" s="54">
        <v>7</v>
      </c>
      <c r="D105" s="54" t="str">
        <f t="shared" si="0"/>
        <v>Online safety::7::Demonstrate how to report illegal online content</v>
      </c>
      <c r="E105" s="54" t="s">
        <v>2026</v>
      </c>
      <c r="F105" s="54">
        <v>4.3</v>
      </c>
      <c r="G105" s="54" t="s">
        <v>1604</v>
      </c>
      <c r="H105" s="54" t="s">
        <v>60</v>
      </c>
    </row>
    <row r="106" spans="1:8" ht="13">
      <c r="A106" s="54" t="s">
        <v>1917</v>
      </c>
      <c r="B106" s="54" t="s">
        <v>2002</v>
      </c>
      <c r="C106" s="54">
        <v>8</v>
      </c>
      <c r="D106" s="54" t="str">
        <f t="shared" si="0"/>
        <v>Online safety::8::Discuss how we decide what content should be illegal</v>
      </c>
      <c r="E106" s="54" t="s">
        <v>2027</v>
      </c>
      <c r="F106" s="54">
        <v>4.3</v>
      </c>
      <c r="G106" s="54" t="s">
        <v>1604</v>
      </c>
      <c r="H106" s="54" t="s">
        <v>60</v>
      </c>
    </row>
    <row r="107" spans="1:8" ht="13">
      <c r="A107" s="54" t="s">
        <v>1917</v>
      </c>
      <c r="B107" s="54" t="s">
        <v>2002</v>
      </c>
      <c r="C107" s="54">
        <v>8</v>
      </c>
      <c r="D107" s="54" t="str">
        <f t="shared" si="0"/>
        <v>Online safety::8::Debate the right to access information in the context of safety concerns online already discussed in this unit</v>
      </c>
      <c r="E107" s="54" t="s">
        <v>2028</v>
      </c>
      <c r="F107" s="54">
        <v>4.3</v>
      </c>
      <c r="G107" s="54" t="s">
        <v>1604</v>
      </c>
      <c r="H107" s="54" t="s">
        <v>60</v>
      </c>
    </row>
    <row r="108" spans="1:8" ht="13">
      <c r="A108" s="54" t="s">
        <v>1917</v>
      </c>
      <c r="B108" s="54" t="s">
        <v>2002</v>
      </c>
      <c r="C108" s="54">
        <v>8</v>
      </c>
      <c r="D108" s="54" t="str">
        <f t="shared" si="0"/>
        <v>Online safety::8::Compare UK laws with those in other countries</v>
      </c>
      <c r="E108" s="54" t="s">
        <v>2029</v>
      </c>
      <c r="F108" s="54">
        <v>4.3</v>
      </c>
      <c r="G108" s="54" t="s">
        <v>21</v>
      </c>
      <c r="H108" s="54" t="s">
        <v>60</v>
      </c>
    </row>
    <row r="109" spans="1:8" ht="13">
      <c r="A109" s="54" t="s">
        <v>1917</v>
      </c>
      <c r="B109" s="54" t="s">
        <v>2002</v>
      </c>
      <c r="C109" s="54">
        <v>8</v>
      </c>
      <c r="D109" s="54" t="str">
        <f t="shared" si="0"/>
        <v>Online safety::8::Discover different technologies used to access and share information online</v>
      </c>
      <c r="E109" s="54" t="s">
        <v>2030</v>
      </c>
      <c r="F109" s="54">
        <v>4.3</v>
      </c>
      <c r="G109" s="54" t="s">
        <v>1160</v>
      </c>
      <c r="H109" s="54" t="s">
        <v>60</v>
      </c>
    </row>
    <row r="110" spans="1:8" ht="13">
      <c r="A110" s="54" t="s">
        <v>1917</v>
      </c>
      <c r="B110" s="54" t="s">
        <v>2002</v>
      </c>
      <c r="C110" s="54">
        <v>9</v>
      </c>
      <c r="D110" s="54" t="str">
        <f t="shared" si="0"/>
        <v>Online safety::9::Reflect on how big data and other tools help to target information to specific users</v>
      </c>
      <c r="E110" s="54" t="s">
        <v>2031</v>
      </c>
      <c r="F110" s="54">
        <v>4.3</v>
      </c>
      <c r="G110" s="54" t="s">
        <v>1834</v>
      </c>
      <c r="H110" s="54" t="s">
        <v>60</v>
      </c>
    </row>
    <row r="111" spans="1:8" ht="13">
      <c r="A111" s="54" t="s">
        <v>1917</v>
      </c>
      <c r="B111" s="54" t="s">
        <v>2002</v>
      </c>
      <c r="C111" s="54">
        <v>9</v>
      </c>
      <c r="D111" s="54" t="str">
        <f t="shared" si="0"/>
        <v>Online safety::9::Discuss the impact this might have on different people’s online experiences and the potential disadvantages of living in an online bubble</v>
      </c>
      <c r="E111" s="54" t="s">
        <v>2032</v>
      </c>
      <c r="F111" s="54">
        <v>4.3</v>
      </c>
      <c r="G111" s="54" t="s">
        <v>1812</v>
      </c>
      <c r="H111" s="54" t="s">
        <v>60</v>
      </c>
    </row>
    <row r="112" spans="1:8" ht="13">
      <c r="A112" s="54" t="s">
        <v>1917</v>
      </c>
      <c r="B112" s="54" t="s">
        <v>2002</v>
      </c>
      <c r="C112" s="54">
        <v>10</v>
      </c>
      <c r="D112" s="54" t="str">
        <f t="shared" si="0"/>
        <v>Online safety::10::Contemplate the potential harms of being online</v>
      </c>
      <c r="E112" s="54" t="s">
        <v>2033</v>
      </c>
      <c r="F112" s="54">
        <v>4.3</v>
      </c>
      <c r="G112" s="54" t="s">
        <v>1347</v>
      </c>
      <c r="H112" s="54" t="s">
        <v>60</v>
      </c>
    </row>
    <row r="113" spans="1:8" ht="13">
      <c r="A113" s="54" t="s">
        <v>1917</v>
      </c>
      <c r="B113" s="54" t="s">
        <v>2002</v>
      </c>
      <c r="C113" s="54">
        <v>10</v>
      </c>
      <c r="D113" s="54" t="str">
        <f t="shared" si="0"/>
        <v>Online safety::10::Determine practical actions that can be made to protect oneself online</v>
      </c>
      <c r="E113" s="54" t="s">
        <v>2034</v>
      </c>
      <c r="F113" s="54">
        <v>4.3</v>
      </c>
      <c r="G113" s="54" t="s">
        <v>1347</v>
      </c>
      <c r="H113" s="54" t="s">
        <v>60</v>
      </c>
    </row>
    <row r="114" spans="1:8" ht="13">
      <c r="A114" s="54" t="s">
        <v>1917</v>
      </c>
      <c r="B114" s="54" t="s">
        <v>2002</v>
      </c>
      <c r="C114" s="54">
        <v>10</v>
      </c>
      <c r="D114" s="54" t="str">
        <f t="shared" si="0"/>
        <v>Online safety::10::Summarise key aspects of online safety</v>
      </c>
      <c r="E114" s="54" t="s">
        <v>2035</v>
      </c>
      <c r="F114" s="54">
        <v>4.3</v>
      </c>
      <c r="G114" s="54" t="s">
        <v>2036</v>
      </c>
      <c r="H114" s="54" t="s">
        <v>60</v>
      </c>
    </row>
    <row r="115" spans="1:8" ht="13">
      <c r="A115" s="54" t="s">
        <v>1917</v>
      </c>
      <c r="B115" s="54" t="s">
        <v>2037</v>
      </c>
      <c r="C115" s="54">
        <v>1</v>
      </c>
      <c r="D115" s="54" t="str">
        <f t="shared" si="0"/>
        <v>Spreadsheets::1::Create a spreadsheet model for a given scenario</v>
      </c>
      <c r="E115" s="54" t="s">
        <v>2038</v>
      </c>
      <c r="F115" s="54" t="s">
        <v>1941</v>
      </c>
      <c r="G115" s="54" t="s">
        <v>1204</v>
      </c>
      <c r="H115" s="54" t="s">
        <v>1083</v>
      </c>
    </row>
    <row r="116" spans="1:8" ht="13">
      <c r="A116" s="54" t="s">
        <v>1917</v>
      </c>
      <c r="B116" s="54" t="s">
        <v>2037</v>
      </c>
      <c r="C116" s="54">
        <v>1</v>
      </c>
      <c r="D116" s="54" t="str">
        <f t="shared" si="0"/>
        <v>Spreadsheets::1::Demonstrate how to use formulae to perform calculations</v>
      </c>
      <c r="E116" s="54" t="s">
        <v>2039</v>
      </c>
      <c r="F116" s="54" t="s">
        <v>1941</v>
      </c>
      <c r="G116" s="54" t="s">
        <v>1560</v>
      </c>
      <c r="H116" s="54" t="s">
        <v>1083</v>
      </c>
    </row>
    <row r="117" spans="1:8" ht="13">
      <c r="A117" s="54" t="s">
        <v>1917</v>
      </c>
      <c r="B117" s="54" t="s">
        <v>2037</v>
      </c>
      <c r="C117" s="54">
        <v>1</v>
      </c>
      <c r="D117" s="54" t="str">
        <f t="shared" si="0"/>
        <v>Spreadsheets::1::Apply cell formatting</v>
      </c>
      <c r="E117" s="54" t="s">
        <v>2040</v>
      </c>
      <c r="F117" s="54" t="s">
        <v>1941</v>
      </c>
      <c r="G117" s="54" t="s">
        <v>1204</v>
      </c>
      <c r="H117" s="54" t="s">
        <v>1083</v>
      </c>
    </row>
    <row r="118" spans="1:8" ht="13">
      <c r="A118" s="54" t="s">
        <v>1917</v>
      </c>
      <c r="B118" s="54" t="s">
        <v>2037</v>
      </c>
      <c r="C118" s="54">
        <v>2</v>
      </c>
      <c r="D118" s="54" t="str">
        <f t="shared" si="0"/>
        <v>Spreadsheets::2::Implement formatting to make the spreadsheet readable and to highlight different specific information</v>
      </c>
      <c r="E118" s="54" t="s">
        <v>2041</v>
      </c>
      <c r="F118" s="54" t="s">
        <v>1941</v>
      </c>
      <c r="G118" s="54" t="s">
        <v>1204</v>
      </c>
      <c r="H118" s="54" t="s">
        <v>1083</v>
      </c>
    </row>
    <row r="119" spans="1:8" ht="13">
      <c r="A119" s="54" t="s">
        <v>1917</v>
      </c>
      <c r="B119" s="54" t="s">
        <v>2037</v>
      </c>
      <c r="C119" s="54">
        <v>2</v>
      </c>
      <c r="D119" s="54" t="str">
        <f t="shared" si="0"/>
        <v>Spreadsheets::2::Use data validation when entering data in order to reduce user error</v>
      </c>
      <c r="E119" s="54" t="s">
        <v>2042</v>
      </c>
      <c r="F119" s="54" t="s">
        <v>1941</v>
      </c>
      <c r="G119" s="54" t="s">
        <v>1204</v>
      </c>
      <c r="H119" s="54" t="s">
        <v>1083</v>
      </c>
    </row>
    <row r="120" spans="1:8" ht="13">
      <c r="A120" s="54" t="s">
        <v>1917</v>
      </c>
      <c r="B120" s="54" t="s">
        <v>2037</v>
      </c>
      <c r="C120" s="54">
        <v>3</v>
      </c>
      <c r="D120" s="54" t="str">
        <f t="shared" si="0"/>
        <v>Spreadsheets::3::Implement conditional formatting techniques</v>
      </c>
      <c r="E120" s="54" t="s">
        <v>2043</v>
      </c>
      <c r="F120" s="54" t="s">
        <v>1941</v>
      </c>
      <c r="G120" s="54" t="s">
        <v>1560</v>
      </c>
      <c r="H120" s="54" t="s">
        <v>1083</v>
      </c>
    </row>
    <row r="121" spans="1:8" ht="13">
      <c r="A121" s="54" t="s">
        <v>1917</v>
      </c>
      <c r="B121" s="54" t="s">
        <v>2037</v>
      </c>
      <c r="C121" s="54">
        <v>3</v>
      </c>
      <c r="D121" s="54" t="str">
        <f t="shared" si="0"/>
        <v>Spreadsheets::3::Format cells correctly, e.g. cells representing money should be currency, etc.</v>
      </c>
      <c r="E121" s="54" t="s">
        <v>2044</v>
      </c>
      <c r="F121" s="54" t="s">
        <v>1941</v>
      </c>
      <c r="G121" s="54" t="s">
        <v>1204</v>
      </c>
      <c r="H121" s="54" t="s">
        <v>1083</v>
      </c>
    </row>
    <row r="122" spans="1:8" ht="13">
      <c r="A122" s="54" t="s">
        <v>1917</v>
      </c>
      <c r="B122" s="54" t="s">
        <v>2037</v>
      </c>
      <c r="C122" s="54">
        <v>4</v>
      </c>
      <c r="D122" s="54" t="str">
        <f t="shared" si="0"/>
        <v>Spreadsheets::4::Select the most suitable chart to visualise the selected data</v>
      </c>
      <c r="E122" s="54" t="s">
        <v>2045</v>
      </c>
      <c r="F122" s="54" t="s">
        <v>1941</v>
      </c>
      <c r="G122" s="54" t="s">
        <v>1204</v>
      </c>
      <c r="H122" s="54" t="s">
        <v>1083</v>
      </c>
    </row>
    <row r="123" spans="1:8" ht="13">
      <c r="A123" s="54" t="s">
        <v>1917</v>
      </c>
      <c r="B123" s="54" t="s">
        <v>2037</v>
      </c>
      <c r="C123" s="54">
        <v>4</v>
      </c>
      <c r="D123" s="54" t="str">
        <f t="shared" si="0"/>
        <v>Spreadsheets::4::Recognise the importance of clear titles and labels</v>
      </c>
      <c r="E123" s="54" t="s">
        <v>2046</v>
      </c>
      <c r="F123" s="54" t="s">
        <v>1941</v>
      </c>
      <c r="G123" s="54" t="s">
        <v>1204</v>
      </c>
      <c r="H123" s="54" t="s">
        <v>1083</v>
      </c>
    </row>
    <row r="124" spans="1:8" ht="13">
      <c r="A124" s="54" t="s">
        <v>1917</v>
      </c>
      <c r="B124" s="54" t="s">
        <v>2037</v>
      </c>
      <c r="C124" s="54">
        <v>4</v>
      </c>
      <c r="D124" s="54" t="str">
        <f t="shared" si="0"/>
        <v>Spreadsheets::4::Implement and test a macro to carry out a repetitive task</v>
      </c>
      <c r="E124" s="54" t="s">
        <v>2047</v>
      </c>
      <c r="F124" s="54" t="s">
        <v>1941</v>
      </c>
      <c r="G124" s="54" t="s">
        <v>1560</v>
      </c>
      <c r="H124" s="54" t="s">
        <v>1083</v>
      </c>
    </row>
    <row r="125" spans="1:8" ht="13">
      <c r="A125" s="54" t="s">
        <v>1917</v>
      </c>
      <c r="B125" s="54" t="s">
        <v>2037</v>
      </c>
      <c r="C125" s="54">
        <v>5</v>
      </c>
      <c r="D125" s="54" t="str">
        <f t="shared" si="0"/>
        <v>Spreadsheets::5::Implement a LOOKUP function to retrieve data</v>
      </c>
      <c r="E125" s="54" t="s">
        <v>2048</v>
      </c>
      <c r="F125" s="54" t="s">
        <v>1941</v>
      </c>
      <c r="G125" s="54" t="s">
        <v>1560</v>
      </c>
      <c r="H125" s="54" t="s">
        <v>1083</v>
      </c>
    </row>
    <row r="126" spans="1:8" ht="13">
      <c r="A126" s="54" t="s">
        <v>1917</v>
      </c>
      <c r="B126" s="54" t="s">
        <v>2037</v>
      </c>
      <c r="C126" s="54">
        <v>5</v>
      </c>
      <c r="D126" s="54" t="str">
        <f t="shared" si="0"/>
        <v>Spreadsheets::5::Implement an IF function to give the user feedback</v>
      </c>
      <c r="E126" s="54" t="s">
        <v>2049</v>
      </c>
      <c r="F126" s="54" t="s">
        <v>1941</v>
      </c>
      <c r="G126" s="54" t="s">
        <v>1560</v>
      </c>
      <c r="H126" s="54" t="s">
        <v>1083</v>
      </c>
    </row>
    <row r="127" spans="1:8" ht="13">
      <c r="A127" s="54" t="s">
        <v>1917</v>
      </c>
      <c r="B127" s="54" t="s">
        <v>2037</v>
      </c>
      <c r="C127" s="54">
        <v>6</v>
      </c>
      <c r="D127" s="54" t="str">
        <f t="shared" si="0"/>
        <v>Spreadsheets::6::Demonstrate that skills developed in the lessons can be applied to a different scenario</v>
      </c>
      <c r="E127" s="54" t="s">
        <v>2050</v>
      </c>
      <c r="F127" s="54" t="s">
        <v>1941</v>
      </c>
      <c r="G127" s="54" t="s">
        <v>15</v>
      </c>
      <c r="H127" s="54" t="s">
        <v>1083</v>
      </c>
    </row>
    <row r="128" spans="1:8" ht="13">
      <c r="A128" s="54" t="s">
        <v>1917</v>
      </c>
      <c r="B128" s="54" t="s">
        <v>2037</v>
      </c>
      <c r="C128" s="54">
        <v>6</v>
      </c>
      <c r="D128" s="54" t="str">
        <f t="shared" si="0"/>
        <v>Spreadsheets::6::Solve problems using transferable skills</v>
      </c>
      <c r="E128" s="54" t="s">
        <v>2051</v>
      </c>
      <c r="F128" s="54" t="s">
        <v>1941</v>
      </c>
      <c r="G128" s="54" t="s">
        <v>15</v>
      </c>
      <c r="H128" s="54" t="s">
        <v>1083</v>
      </c>
    </row>
    <row r="129" spans="1:8" ht="13">
      <c r="A129" s="54" t="s">
        <v>1917</v>
      </c>
      <c r="B129" s="54" t="s">
        <v>2037</v>
      </c>
      <c r="C129" s="54">
        <v>6</v>
      </c>
      <c r="D129" s="54" t="str">
        <f t="shared" si="0"/>
        <v>Spreadsheets::6::Think widely about the uses for and purposes of spreadsheets</v>
      </c>
      <c r="E129" s="54" t="s">
        <v>2052</v>
      </c>
      <c r="F129" s="54" t="s">
        <v>1941</v>
      </c>
      <c r="G129" s="54" t="s">
        <v>1295</v>
      </c>
      <c r="H129" s="54" t="s">
        <v>1083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H325"/>
  <sheetViews>
    <sheetView workbookViewId="0"/>
  </sheetViews>
  <sheetFormatPr baseColWidth="10" defaultColWidth="12.6640625" defaultRowHeight="15.75" customHeight="1"/>
  <cols>
    <col min="5" max="5" width="158.83203125" customWidth="1"/>
  </cols>
  <sheetData>
    <row r="1" spans="1:8" ht="15.75" customHeight="1">
      <c r="A1" s="54" t="s">
        <v>1057</v>
      </c>
      <c r="B1" s="54" t="s">
        <v>1058</v>
      </c>
      <c r="C1" s="54" t="s">
        <v>1059</v>
      </c>
      <c r="D1" s="54" t="s">
        <v>1060</v>
      </c>
      <c r="E1" s="54"/>
      <c r="F1" s="54" t="s">
        <v>1061</v>
      </c>
      <c r="G1" s="54" t="s">
        <v>1061</v>
      </c>
      <c r="H1" s="54" t="s">
        <v>1061</v>
      </c>
    </row>
    <row r="2" spans="1:8" ht="15.75" customHeight="1">
      <c r="A2" s="54" t="s">
        <v>2053</v>
      </c>
      <c r="B2" s="54" t="s">
        <v>2054</v>
      </c>
      <c r="C2" s="54">
        <v>1</v>
      </c>
      <c r="D2" s="54" t="s">
        <v>2055</v>
      </c>
      <c r="E2" s="54" t="str">
        <f t="shared" ref="E2:E256" si="0">B2&amp;"::"&amp;C2&amp;"::"&amp;D2</f>
        <v>Algorithms part 1::1::Define the terms decomposition, abstraction and algorithmic thinking</v>
      </c>
      <c r="F2" s="54" t="s">
        <v>1941</v>
      </c>
      <c r="G2" s="54" t="s">
        <v>24</v>
      </c>
      <c r="H2" s="54" t="s">
        <v>1083</v>
      </c>
    </row>
    <row r="3" spans="1:8" ht="15.75" customHeight="1">
      <c r="A3" s="54" t="s">
        <v>2053</v>
      </c>
      <c r="B3" s="54" t="s">
        <v>2054</v>
      </c>
      <c r="C3" s="54">
        <v>1</v>
      </c>
      <c r="D3" s="54" t="s">
        <v>2056</v>
      </c>
      <c r="E3" s="54" t="str">
        <f t="shared" si="0"/>
        <v>Algorithms part 1::1::Recognise scenarios where each of these computational thinking techniques are applied</v>
      </c>
      <c r="F3" s="54" t="s">
        <v>1941</v>
      </c>
      <c r="G3" s="54" t="s">
        <v>24</v>
      </c>
      <c r="H3" s="54" t="s">
        <v>1083</v>
      </c>
    </row>
    <row r="4" spans="1:8" ht="15.75" customHeight="1">
      <c r="A4" s="54" t="s">
        <v>2053</v>
      </c>
      <c r="B4" s="54" t="s">
        <v>2054</v>
      </c>
      <c r="C4" s="54">
        <v>1</v>
      </c>
      <c r="D4" s="54" t="s">
        <v>2057</v>
      </c>
      <c r="E4" s="54" t="str">
        <f t="shared" si="0"/>
        <v>Algorithms part 1::1::Apply decomposition, abstraction and algorithmic thinking to help solve a problem</v>
      </c>
      <c r="F4" s="54" t="s">
        <v>1941</v>
      </c>
      <c r="G4" s="54" t="s">
        <v>24</v>
      </c>
      <c r="H4" s="54" t="s">
        <v>1083</v>
      </c>
    </row>
    <row r="5" spans="1:8" ht="15.75" customHeight="1">
      <c r="A5" s="54" t="s">
        <v>2053</v>
      </c>
      <c r="B5" s="54" t="s">
        <v>2054</v>
      </c>
      <c r="C5" s="54">
        <v>2</v>
      </c>
      <c r="D5" s="54" t="s">
        <v>2058</v>
      </c>
      <c r="E5" s="54" t="str">
        <f t="shared" si="0"/>
        <v>Algorithms part 1::2::Describe the difference between algorithms and computer programs</v>
      </c>
      <c r="F5" s="54" t="s">
        <v>1941</v>
      </c>
      <c r="G5" s="54" t="s">
        <v>1221</v>
      </c>
      <c r="H5" s="54" t="s">
        <v>1083</v>
      </c>
    </row>
    <row r="6" spans="1:8" ht="15.75" customHeight="1">
      <c r="A6" s="54" t="s">
        <v>2053</v>
      </c>
      <c r="B6" s="54" t="s">
        <v>2054</v>
      </c>
      <c r="C6" s="54">
        <v>2</v>
      </c>
      <c r="D6" s="54" t="s">
        <v>2059</v>
      </c>
      <c r="E6" s="54" t="str">
        <f t="shared" si="0"/>
        <v>Algorithms part 1::2::Identify algorithms that are defined as written descriptions, flowcharts and code</v>
      </c>
      <c r="F6" s="54" t="s">
        <v>1941</v>
      </c>
      <c r="G6" s="54" t="s">
        <v>24</v>
      </c>
      <c r="H6" s="54" t="s">
        <v>1083</v>
      </c>
    </row>
    <row r="7" spans="1:8" ht="15.75" customHeight="1">
      <c r="A7" s="54" t="s">
        <v>2053</v>
      </c>
      <c r="B7" s="54" t="s">
        <v>2054</v>
      </c>
      <c r="C7" s="54">
        <v>2</v>
      </c>
      <c r="D7" s="54" t="s">
        <v>2060</v>
      </c>
      <c r="E7" s="54" t="str">
        <f t="shared" si="0"/>
        <v>Algorithms part 1::2::Analyse and create flowcharts using the flowchart symbols</v>
      </c>
      <c r="F7" s="54" t="s">
        <v>1941</v>
      </c>
      <c r="G7" s="54" t="s">
        <v>24</v>
      </c>
      <c r="H7" s="54" t="s">
        <v>1083</v>
      </c>
    </row>
    <row r="8" spans="1:8" ht="15.75" customHeight="1">
      <c r="A8" s="54" t="s">
        <v>2053</v>
      </c>
      <c r="B8" s="54" t="s">
        <v>2054</v>
      </c>
      <c r="C8" s="54">
        <v>3</v>
      </c>
      <c r="D8" s="54" t="s">
        <v>2061</v>
      </c>
      <c r="E8" s="54" t="str">
        <f t="shared" si="0"/>
        <v>Algorithms part 1::3::Use a trace table to walk through code that contains a while loop, a for loop and a list of items</v>
      </c>
      <c r="F8" s="54" t="s">
        <v>1941</v>
      </c>
      <c r="G8" s="54" t="s">
        <v>24</v>
      </c>
      <c r="H8" s="54" t="s">
        <v>1083</v>
      </c>
    </row>
    <row r="9" spans="1:8" ht="15.75" customHeight="1">
      <c r="A9" s="54" t="s">
        <v>2053</v>
      </c>
      <c r="B9" s="54" t="s">
        <v>2054</v>
      </c>
      <c r="C9" s="54">
        <v>3</v>
      </c>
      <c r="D9" s="54" t="s">
        <v>2062</v>
      </c>
      <c r="E9" s="54" t="str">
        <f t="shared" si="0"/>
        <v>Algorithms part 1::3::Use a trace table to detect and correct errors in a program</v>
      </c>
      <c r="F9" s="54" t="s">
        <v>1941</v>
      </c>
      <c r="G9" s="54" t="s">
        <v>1221</v>
      </c>
      <c r="H9" s="54" t="s">
        <v>1083</v>
      </c>
    </row>
    <row r="10" spans="1:8" ht="15.75" customHeight="1">
      <c r="A10" s="54" t="s">
        <v>2053</v>
      </c>
      <c r="B10" s="54" t="s">
        <v>2063</v>
      </c>
      <c r="C10" s="54">
        <v>4</v>
      </c>
      <c r="D10" s="54" t="s">
        <v>2064</v>
      </c>
      <c r="E10" s="54" t="str">
        <f t="shared" si="0"/>
        <v>Algorithms part 2::4::Identify why computers often need to search data</v>
      </c>
      <c r="F10" s="54" t="s">
        <v>1941</v>
      </c>
      <c r="G10" s="54" t="s">
        <v>24</v>
      </c>
      <c r="H10" s="54" t="s">
        <v>1083</v>
      </c>
    </row>
    <row r="11" spans="1:8" ht="15.75" customHeight="1">
      <c r="A11" s="54" t="s">
        <v>2053</v>
      </c>
      <c r="B11" s="54" t="s">
        <v>2063</v>
      </c>
      <c r="C11" s="54">
        <v>4</v>
      </c>
      <c r="D11" s="54" t="s">
        <v>2065</v>
      </c>
      <c r="E11" s="54" t="str">
        <f t="shared" si="0"/>
        <v>Algorithms part 2::4::Describe how linear search is used for finding the position of an item in a list of items</v>
      </c>
      <c r="F11" s="54" t="s">
        <v>1941</v>
      </c>
      <c r="G11" s="54" t="s">
        <v>24</v>
      </c>
      <c r="H11" s="54" t="s">
        <v>1083</v>
      </c>
    </row>
    <row r="12" spans="1:8" ht="15.75" customHeight="1">
      <c r="A12" s="54" t="s">
        <v>2053</v>
      </c>
      <c r="B12" s="54" t="s">
        <v>2063</v>
      </c>
      <c r="C12" s="54">
        <v>4</v>
      </c>
      <c r="D12" s="54" t="s">
        <v>2066</v>
      </c>
      <c r="E12" s="54" t="str">
        <f t="shared" si="0"/>
        <v>Algorithms part 2::4::Perform a linear search to find the position of an item in a list</v>
      </c>
      <c r="F12" s="54" t="s">
        <v>1941</v>
      </c>
      <c r="G12" s="54" t="s">
        <v>1221</v>
      </c>
      <c r="H12" s="54" t="s">
        <v>1083</v>
      </c>
    </row>
    <row r="13" spans="1:8" ht="15.75" customHeight="1">
      <c r="A13" s="54" t="s">
        <v>2053</v>
      </c>
      <c r="B13" s="54" t="s">
        <v>2063</v>
      </c>
      <c r="C13" s="54">
        <v>5</v>
      </c>
      <c r="D13" s="54" t="s">
        <v>2067</v>
      </c>
      <c r="E13" s="54" t="str">
        <f t="shared" si="0"/>
        <v>Algorithms part 2::5::Describe how binary search is used for finding the position of an item in a list of items</v>
      </c>
      <c r="F13" s="54" t="s">
        <v>1941</v>
      </c>
      <c r="G13" s="54" t="s">
        <v>24</v>
      </c>
      <c r="H13" s="54" t="s">
        <v>1083</v>
      </c>
    </row>
    <row r="14" spans="1:8" ht="15.75" customHeight="1">
      <c r="A14" s="54" t="s">
        <v>2053</v>
      </c>
      <c r="B14" s="54" t="s">
        <v>2063</v>
      </c>
      <c r="C14" s="54">
        <v>5</v>
      </c>
      <c r="D14" s="54" t="s">
        <v>2068</v>
      </c>
      <c r="E14" s="54" t="str">
        <f t="shared" si="0"/>
        <v>Algorithms part 2::5::Perform a binary search to find the position of an item in a list</v>
      </c>
      <c r="F14" s="54" t="s">
        <v>1941</v>
      </c>
      <c r="G14" s="54" t="s">
        <v>1221</v>
      </c>
      <c r="H14" s="54" t="s">
        <v>1083</v>
      </c>
    </row>
    <row r="15" spans="1:8" ht="15.75" customHeight="1">
      <c r="A15" s="54" t="s">
        <v>2053</v>
      </c>
      <c r="B15" s="54" t="s">
        <v>2063</v>
      </c>
      <c r="C15" s="54">
        <v>5</v>
      </c>
      <c r="D15" s="54" t="s">
        <v>2069</v>
      </c>
      <c r="E15" s="54" t="str">
        <f t="shared" si="0"/>
        <v>Algorithms part 2::5::Identify scenarios when a binary search can and cannot be carried out</v>
      </c>
      <c r="F15" s="54" t="s">
        <v>1941</v>
      </c>
      <c r="G15" s="54" t="s">
        <v>24</v>
      </c>
      <c r="H15" s="54" t="s">
        <v>1083</v>
      </c>
    </row>
    <row r="16" spans="1:8" ht="15.75" customHeight="1">
      <c r="A16" s="54" t="s">
        <v>2053</v>
      </c>
      <c r="B16" s="54" t="s">
        <v>2063</v>
      </c>
      <c r="C16" s="54">
        <v>6</v>
      </c>
      <c r="D16" s="54" t="s">
        <v>2070</v>
      </c>
      <c r="E16" s="54" t="str">
        <f t="shared" si="0"/>
        <v>Algorithms part 2::6::Compare the features of linear and binary search and decide which is most suitable in a given context</v>
      </c>
      <c r="F16" s="54" t="s">
        <v>1941</v>
      </c>
      <c r="G16" s="54" t="s">
        <v>1135</v>
      </c>
      <c r="H16" s="54" t="s">
        <v>1083</v>
      </c>
    </row>
    <row r="17" spans="1:8" ht="15.75" customHeight="1">
      <c r="A17" s="54" t="s">
        <v>2053</v>
      </c>
      <c r="B17" s="54" t="s">
        <v>2063</v>
      </c>
      <c r="C17" s="54">
        <v>6</v>
      </c>
      <c r="D17" s="54" t="s">
        <v>2071</v>
      </c>
      <c r="E17" s="54" t="str">
        <f t="shared" si="0"/>
        <v>Algorithms part 2::6::Interpret the code for linear search and binary search</v>
      </c>
      <c r="F17" s="54" t="s">
        <v>1941</v>
      </c>
      <c r="G17" s="54" t="s">
        <v>24</v>
      </c>
      <c r="H17" s="54" t="s">
        <v>1083</v>
      </c>
    </row>
    <row r="18" spans="1:8" ht="15.75" customHeight="1">
      <c r="A18" s="54" t="s">
        <v>2053</v>
      </c>
      <c r="B18" s="54" t="s">
        <v>2063</v>
      </c>
      <c r="C18" s="54">
        <v>6</v>
      </c>
      <c r="D18" s="54" t="s">
        <v>2072</v>
      </c>
      <c r="E18" s="54" t="str">
        <f t="shared" si="0"/>
        <v>Algorithms part 2::6::Trace code for both searching algorithms with input data</v>
      </c>
      <c r="F18" s="54" t="s">
        <v>1941</v>
      </c>
      <c r="G18" s="54" t="s">
        <v>1221</v>
      </c>
      <c r="H18" s="54" t="s">
        <v>1083</v>
      </c>
    </row>
    <row r="19" spans="1:8" ht="15.75" customHeight="1">
      <c r="A19" s="54" t="s">
        <v>2053</v>
      </c>
      <c r="B19" s="54" t="s">
        <v>2063</v>
      </c>
      <c r="C19" s="54">
        <v>7</v>
      </c>
      <c r="D19" s="54" t="s">
        <v>2073</v>
      </c>
      <c r="E19" s="54" t="str">
        <f t="shared" si="0"/>
        <v>Algorithms part 2::7::Identify why computers often need to sort data</v>
      </c>
      <c r="F19" s="54" t="s">
        <v>1941</v>
      </c>
      <c r="G19" s="54" t="s">
        <v>24</v>
      </c>
      <c r="H19" s="54" t="s">
        <v>1083</v>
      </c>
    </row>
    <row r="20" spans="1:8" ht="15.75" customHeight="1">
      <c r="A20" s="54" t="s">
        <v>2053</v>
      </c>
      <c r="B20" s="54" t="s">
        <v>2063</v>
      </c>
      <c r="C20" s="54">
        <v>7</v>
      </c>
      <c r="D20" s="54" t="s">
        <v>2074</v>
      </c>
      <c r="E20" s="54" t="str">
        <f t="shared" si="0"/>
        <v>Algorithms part 2::7::Traverse a list of items, swapping the items that are out of order</v>
      </c>
      <c r="F20" s="54" t="s">
        <v>1941</v>
      </c>
      <c r="G20" s="54" t="s">
        <v>24</v>
      </c>
      <c r="H20" s="54" t="s">
        <v>1083</v>
      </c>
    </row>
    <row r="21" spans="1:8" ht="15.75" customHeight="1">
      <c r="A21" s="54" t="s">
        <v>2053</v>
      </c>
      <c r="B21" s="54" t="s">
        <v>2063</v>
      </c>
      <c r="C21" s="54">
        <v>7</v>
      </c>
      <c r="D21" s="54" t="s">
        <v>2075</v>
      </c>
      <c r="E21" s="54" t="str">
        <f t="shared" si="0"/>
        <v>Algorithms part 2::7::Perform a bubble sort to order a list containing sample data</v>
      </c>
      <c r="F21" s="54" t="s">
        <v>1941</v>
      </c>
      <c r="G21" s="54" t="s">
        <v>1221</v>
      </c>
      <c r="H21" s="54" t="s">
        <v>1083</v>
      </c>
    </row>
    <row r="22" spans="1:8" ht="15.75" customHeight="1">
      <c r="A22" s="54" t="s">
        <v>2053</v>
      </c>
      <c r="B22" s="54" t="s">
        <v>2063</v>
      </c>
      <c r="C22" s="54">
        <v>8</v>
      </c>
      <c r="D22" s="54" t="s">
        <v>2076</v>
      </c>
      <c r="E22" s="54" t="str">
        <f t="shared" si="0"/>
        <v>Algorithms part 2::8::Insert an item into an ordered list of items</v>
      </c>
      <c r="F22" s="54" t="s">
        <v>1941</v>
      </c>
      <c r="G22" s="54" t="s">
        <v>24</v>
      </c>
      <c r="H22" s="54" t="s">
        <v>1083</v>
      </c>
    </row>
    <row r="23" spans="1:8" ht="15.75" customHeight="1">
      <c r="A23" s="54" t="s">
        <v>2053</v>
      </c>
      <c r="B23" s="54" t="s">
        <v>2063</v>
      </c>
      <c r="C23" s="54">
        <v>8</v>
      </c>
      <c r="D23" s="54" t="s">
        <v>2077</v>
      </c>
      <c r="E23" s="54" t="str">
        <f t="shared" si="0"/>
        <v>Algorithms part 2::8::Describe how insertion sort is used for ordering a list of items</v>
      </c>
      <c r="F23" s="54" t="s">
        <v>1941</v>
      </c>
      <c r="G23" s="54" t="s">
        <v>24</v>
      </c>
      <c r="H23" s="54" t="s">
        <v>1083</v>
      </c>
    </row>
    <row r="24" spans="1:8" ht="15.75" customHeight="1">
      <c r="A24" s="54" t="s">
        <v>2053</v>
      </c>
      <c r="B24" s="54" t="s">
        <v>2063</v>
      </c>
      <c r="C24" s="54">
        <v>8</v>
      </c>
      <c r="D24" s="54" t="s">
        <v>2078</v>
      </c>
      <c r="E24" s="54" t="str">
        <f t="shared" si="0"/>
        <v>Algorithms part 2::8::Perform an insertion sort to order a list containing sample data</v>
      </c>
      <c r="F24" s="54" t="s">
        <v>1941</v>
      </c>
      <c r="G24" s="54" t="s">
        <v>1221</v>
      </c>
      <c r="H24" s="54" t="s">
        <v>1083</v>
      </c>
    </row>
    <row r="25" spans="1:8" ht="15.75" customHeight="1">
      <c r="A25" s="54" t="s">
        <v>2053</v>
      </c>
      <c r="B25" s="54" t="s">
        <v>2063</v>
      </c>
      <c r="C25" s="54">
        <v>9</v>
      </c>
      <c r="D25" s="54" t="s">
        <v>2079</v>
      </c>
      <c r="E25" s="54" t="str">
        <f t="shared" si="0"/>
        <v>Algorithms part 2::9::Interpret the code for bubble sort and insertion sort</v>
      </c>
      <c r="F25" s="54" t="s">
        <v>1941</v>
      </c>
      <c r="G25" s="54" t="s">
        <v>1221</v>
      </c>
      <c r="H25" s="54" t="s">
        <v>1083</v>
      </c>
    </row>
    <row r="26" spans="1:8" ht="15.75" customHeight="1">
      <c r="A26" s="54" t="s">
        <v>2053</v>
      </c>
      <c r="B26" s="54" t="s">
        <v>2063</v>
      </c>
      <c r="C26" s="54">
        <v>9</v>
      </c>
      <c r="D26" s="54" t="s">
        <v>2080</v>
      </c>
      <c r="E26" s="54" t="str">
        <f t="shared" si="0"/>
        <v>Algorithms part 2::9::Trace code for both sorting algorithms with input data</v>
      </c>
      <c r="F26" s="54" t="s">
        <v>1941</v>
      </c>
      <c r="G26" s="54" t="s">
        <v>1221</v>
      </c>
      <c r="H26" s="54" t="s">
        <v>1083</v>
      </c>
    </row>
    <row r="27" spans="1:8" ht="15.75" customHeight="1">
      <c r="A27" s="54" t="s">
        <v>2053</v>
      </c>
      <c r="B27" s="54" t="s">
        <v>2063</v>
      </c>
      <c r="C27" s="54">
        <v>9</v>
      </c>
      <c r="D27" s="54" t="s">
        <v>2081</v>
      </c>
      <c r="E27" s="54" t="str">
        <f t="shared" si="0"/>
        <v>Algorithms part 2::9::Identify factors that could influence the efficiency of a bubble sort implementation</v>
      </c>
      <c r="F27" s="54" t="s">
        <v>1941</v>
      </c>
      <c r="G27" s="54" t="s">
        <v>24</v>
      </c>
      <c r="H27" s="54" t="s">
        <v>1083</v>
      </c>
    </row>
    <row r="28" spans="1:8" ht="15.75" customHeight="1">
      <c r="A28" s="54" t="s">
        <v>2053</v>
      </c>
      <c r="B28" s="54" t="s">
        <v>2063</v>
      </c>
      <c r="C28" s="54">
        <v>10</v>
      </c>
      <c r="D28" s="54" t="s">
        <v>2082</v>
      </c>
      <c r="E28" s="54" t="str">
        <f t="shared" si="0"/>
        <v>Algorithms part 2::10::Merge two ordered lists of items into a new ordered list</v>
      </c>
      <c r="F28" s="54" t="s">
        <v>1941</v>
      </c>
      <c r="G28" s="54" t="s">
        <v>24</v>
      </c>
      <c r="H28" s="54" t="s">
        <v>1083</v>
      </c>
    </row>
    <row r="29" spans="1:8" ht="15.75" customHeight="1">
      <c r="A29" s="54" t="s">
        <v>2053</v>
      </c>
      <c r="B29" s="54" t="s">
        <v>2063</v>
      </c>
      <c r="C29" s="54">
        <v>10</v>
      </c>
      <c r="D29" s="54" t="s">
        <v>2083</v>
      </c>
      <c r="E29" s="54" t="str">
        <f t="shared" si="0"/>
        <v>Algorithms part 2::10::Describe how merge sort is used for ordering a list of items</v>
      </c>
      <c r="F29" s="54" t="s">
        <v>1941</v>
      </c>
      <c r="G29" s="54" t="s">
        <v>24</v>
      </c>
      <c r="H29" s="54" t="s">
        <v>1083</v>
      </c>
    </row>
    <row r="30" spans="1:8" ht="15.75" customHeight="1">
      <c r="A30" s="54" t="s">
        <v>2053</v>
      </c>
      <c r="B30" s="54" t="s">
        <v>2063</v>
      </c>
      <c r="C30" s="54">
        <v>10</v>
      </c>
      <c r="D30" s="54" t="s">
        <v>2084</v>
      </c>
      <c r="E30" s="54" t="str">
        <f t="shared" si="0"/>
        <v>Algorithms part 2::10::Perform a merge sort to order a list containing sample data</v>
      </c>
      <c r="F30" s="54" t="s">
        <v>1941</v>
      </c>
      <c r="G30" s="54" t="s">
        <v>24</v>
      </c>
      <c r="H30" s="54" t="s">
        <v>1083</v>
      </c>
    </row>
    <row r="31" spans="1:8" ht="15.75" customHeight="1">
      <c r="A31" s="54" t="s">
        <v>2053</v>
      </c>
      <c r="B31" s="54" t="s">
        <v>2063</v>
      </c>
      <c r="C31" s="54">
        <v>11</v>
      </c>
      <c r="D31" s="54" t="s">
        <v>2085</v>
      </c>
      <c r="E31" s="54" t="str">
        <f t="shared" si="0"/>
        <v>Algorithms part 2::11::Interpret algorithms and suggest improvements</v>
      </c>
      <c r="F31" s="54" t="s">
        <v>1941</v>
      </c>
      <c r="G31" s="54" t="s">
        <v>1135</v>
      </c>
      <c r="H31" s="54" t="s">
        <v>1083</v>
      </c>
    </row>
    <row r="32" spans="1:8" ht="15.75" customHeight="1">
      <c r="A32" s="54" t="s">
        <v>2053</v>
      </c>
      <c r="B32" s="54" t="s">
        <v>2063</v>
      </c>
      <c r="C32" s="54">
        <v>11</v>
      </c>
      <c r="D32" s="54" t="s">
        <v>2086</v>
      </c>
      <c r="E32" s="54" t="str">
        <f t="shared" si="0"/>
        <v>Algorithms part 2::11::Analyse and fix errors in a flowchart</v>
      </c>
      <c r="F32" s="54" t="s">
        <v>1941</v>
      </c>
      <c r="G32" s="54" t="s">
        <v>24</v>
      </c>
      <c r="H32" s="54" t="s">
        <v>1083</v>
      </c>
    </row>
    <row r="33" spans="1:8" ht="15.75" customHeight="1">
      <c r="A33" s="54" t="s">
        <v>2053</v>
      </c>
      <c r="B33" s="54" t="s">
        <v>2063</v>
      </c>
      <c r="C33" s="54">
        <v>11</v>
      </c>
      <c r="D33" s="54" t="s">
        <v>2087</v>
      </c>
      <c r="E33" s="54" t="str">
        <f t="shared" si="0"/>
        <v>Algorithms part 2::11::Perform searching and sorting algorithms on samples of data</v>
      </c>
      <c r="F33" s="54" t="s">
        <v>1941</v>
      </c>
      <c r="G33" s="54" t="s">
        <v>1221</v>
      </c>
      <c r="H33" s="54" t="s">
        <v>1083</v>
      </c>
    </row>
    <row r="34" spans="1:8" ht="15.75" customHeight="1">
      <c r="A34" s="54" t="s">
        <v>2053</v>
      </c>
      <c r="B34" s="54" t="s">
        <v>2063</v>
      </c>
      <c r="C34" s="54">
        <v>12</v>
      </c>
      <c r="D34" s="54" t="s">
        <v>2088</v>
      </c>
      <c r="E34" s="54" t="str">
        <f t="shared" si="0"/>
        <v>Algorithms part 2::12::Develop a linear search function in Python</v>
      </c>
      <c r="F34" s="54" t="s">
        <v>1941</v>
      </c>
      <c r="G34" s="54" t="s">
        <v>1221</v>
      </c>
      <c r="H34" s="54" t="s">
        <v>1083</v>
      </c>
    </row>
    <row r="35" spans="1:8" ht="15.75" customHeight="1">
      <c r="A35" s="54" t="s">
        <v>2053</v>
      </c>
      <c r="B35" s="54" t="s">
        <v>2063</v>
      </c>
      <c r="C35" s="54">
        <v>12</v>
      </c>
      <c r="D35" s="54" t="s">
        <v>2089</v>
      </c>
      <c r="E35" s="54" t="str">
        <f t="shared" si="0"/>
        <v>Algorithms part 2::12::Complete the end of unit assessment</v>
      </c>
      <c r="F35" s="54" t="s">
        <v>1941</v>
      </c>
      <c r="G35" s="54" t="s">
        <v>1221</v>
      </c>
      <c r="H35" s="54" t="s">
        <v>1083</v>
      </c>
    </row>
    <row r="36" spans="1:8" ht="15.75" customHeight="1">
      <c r="A36" s="54" t="s">
        <v>2053</v>
      </c>
      <c r="B36" s="54" t="s">
        <v>70</v>
      </c>
      <c r="C36" s="54">
        <v>1</v>
      </c>
      <c r="D36" s="54" t="s">
        <v>2090</v>
      </c>
      <c r="E36" s="54" t="str">
        <f t="shared" si="0"/>
        <v>Computer systems::1::Understand the difference between embedded and general purpose computer systems</v>
      </c>
      <c r="F36" s="54" t="s">
        <v>2091</v>
      </c>
      <c r="G36" s="54" t="s">
        <v>18</v>
      </c>
      <c r="H36" s="54" t="s">
        <v>1083</v>
      </c>
    </row>
    <row r="37" spans="1:8" ht="15.75" customHeight="1">
      <c r="A37" s="54" t="s">
        <v>2053</v>
      </c>
      <c r="B37" s="54" t="s">
        <v>70</v>
      </c>
      <c r="C37" s="54">
        <v>1</v>
      </c>
      <c r="D37" s="54" t="s">
        <v>2092</v>
      </c>
      <c r="E37" s="54" t="str">
        <f t="shared" si="0"/>
        <v>Computer systems::1::Describe the role of system software as part of a computer system</v>
      </c>
      <c r="F37" s="54" t="s">
        <v>2091</v>
      </c>
      <c r="G37" s="54" t="s">
        <v>18</v>
      </c>
      <c r="H37" s="54" t="s">
        <v>1083</v>
      </c>
    </row>
    <row r="38" spans="1:8" ht="15.75" customHeight="1">
      <c r="A38" s="54" t="s">
        <v>2053</v>
      </c>
      <c r="B38" s="54" t="s">
        <v>70</v>
      </c>
      <c r="C38" s="54">
        <v>1</v>
      </c>
      <c r="D38" s="54" t="s">
        <v>2093</v>
      </c>
      <c r="E38" s="54" t="str">
        <f t="shared" si="0"/>
        <v>Computer systems::1::Explore the role of the operating system and utility software</v>
      </c>
      <c r="F38" s="54" t="s">
        <v>2091</v>
      </c>
      <c r="G38" s="54" t="s">
        <v>18</v>
      </c>
      <c r="H38" s="54" t="s">
        <v>1083</v>
      </c>
    </row>
    <row r="39" spans="1:8" ht="15.75" customHeight="1">
      <c r="A39" s="54" t="s">
        <v>2053</v>
      </c>
      <c r="B39" s="54" t="s">
        <v>70</v>
      </c>
      <c r="C39" s="54">
        <v>2</v>
      </c>
      <c r="D39" s="54" t="s">
        <v>2094</v>
      </c>
      <c r="E39" s="54" t="str">
        <f t="shared" si="0"/>
        <v>Computer systems::2::Describe the basic components of the CPU</v>
      </c>
      <c r="F39" s="54" t="s">
        <v>2091</v>
      </c>
      <c r="G39" s="54" t="s">
        <v>18</v>
      </c>
      <c r="H39" s="54" t="s">
        <v>1083</v>
      </c>
    </row>
    <row r="40" spans="1:8" ht="15.75" customHeight="1">
      <c r="A40" s="54" t="s">
        <v>2053</v>
      </c>
      <c r="B40" s="54" t="s">
        <v>70</v>
      </c>
      <c r="C40" s="54">
        <v>2</v>
      </c>
      <c r="D40" s="54" t="s">
        <v>2095</v>
      </c>
      <c r="E40" s="54" t="str">
        <f t="shared" si="0"/>
        <v>Computer systems::2::Understand the roles and purpose of each component of the CPU in computation</v>
      </c>
      <c r="F40" s="54" t="s">
        <v>2091</v>
      </c>
      <c r="G40" s="54" t="s">
        <v>18</v>
      </c>
      <c r="H40" s="54" t="s">
        <v>1083</v>
      </c>
    </row>
    <row r="41" spans="1:8" ht="15.75" customHeight="1">
      <c r="A41" s="54" t="s">
        <v>2053</v>
      </c>
      <c r="B41" s="54" t="s">
        <v>70</v>
      </c>
      <c r="C41" s="54">
        <v>3</v>
      </c>
      <c r="D41" s="54" t="s">
        <v>2096</v>
      </c>
      <c r="E41" s="54" t="str">
        <f t="shared" si="0"/>
        <v>Computer systems::3::Explain how the fetch-decode-execute cycle works by describing what happens at each stage</v>
      </c>
      <c r="F41" s="54" t="s">
        <v>2091</v>
      </c>
      <c r="G41" s="54" t="s">
        <v>18</v>
      </c>
      <c r="H41" s="54" t="s">
        <v>1083</v>
      </c>
    </row>
    <row r="42" spans="1:8" ht="15.75" customHeight="1">
      <c r="A42" s="54" t="s">
        <v>2053</v>
      </c>
      <c r="B42" s="54" t="s">
        <v>70</v>
      </c>
      <c r="C42" s="54">
        <v>3</v>
      </c>
      <c r="D42" s="54" t="s">
        <v>2097</v>
      </c>
      <c r="E42" s="54" t="str">
        <f t="shared" si="0"/>
        <v>Computer systems::3::Describe the role of each part of the CPU as part of the fetch-decode-execute cycle</v>
      </c>
      <c r="F42" s="54" t="s">
        <v>2091</v>
      </c>
      <c r="G42" s="54" t="s">
        <v>18</v>
      </c>
      <c r="H42" s="54" t="s">
        <v>1083</v>
      </c>
    </row>
    <row r="43" spans="1:8" ht="15.75" customHeight="1">
      <c r="A43" s="54" t="s">
        <v>2053</v>
      </c>
      <c r="B43" s="54" t="s">
        <v>70</v>
      </c>
      <c r="C43" s="54">
        <v>4</v>
      </c>
      <c r="D43" s="54" t="s">
        <v>2098</v>
      </c>
      <c r="E43" s="54" t="str">
        <f t="shared" si="0"/>
        <v>Computer systems::4::Describe the characteristics of RAM and ROM</v>
      </c>
      <c r="F43" s="54" t="s">
        <v>2091</v>
      </c>
      <c r="G43" s="54" t="s">
        <v>18</v>
      </c>
      <c r="H43" s="54" t="s">
        <v>1083</v>
      </c>
    </row>
    <row r="44" spans="1:8" ht="15.75" customHeight="1">
      <c r="A44" s="54" t="s">
        <v>2053</v>
      </c>
      <c r="B44" s="54" t="s">
        <v>70</v>
      </c>
      <c r="C44" s="54">
        <v>4</v>
      </c>
      <c r="D44" s="54" t="s">
        <v>2099</v>
      </c>
      <c r="E44" s="54" t="str">
        <f t="shared" si="0"/>
        <v>Computer systems::4::Explain the role of main memory as part of a computer system</v>
      </c>
      <c r="F44" s="54" t="s">
        <v>2091</v>
      </c>
      <c r="G44" s="54" t="s">
        <v>18</v>
      </c>
      <c r="H44" s="54" t="s">
        <v>1083</v>
      </c>
    </row>
    <row r="45" spans="1:8" ht="15.75" customHeight="1">
      <c r="A45" s="54" t="s">
        <v>2053</v>
      </c>
      <c r="B45" s="54" t="s">
        <v>70</v>
      </c>
      <c r="C45" s="54">
        <v>4</v>
      </c>
      <c r="D45" s="54" t="s">
        <v>2100</v>
      </c>
      <c r="E45" s="54" t="str">
        <f t="shared" si="0"/>
        <v>Computer systems::4::Define cache memory</v>
      </c>
      <c r="F45" s="54" t="s">
        <v>2091</v>
      </c>
      <c r="G45" s="54" t="s">
        <v>18</v>
      </c>
      <c r="H45" s="54" t="s">
        <v>1083</v>
      </c>
    </row>
    <row r="46" spans="1:8" ht="15.75" customHeight="1">
      <c r="A46" s="54" t="s">
        <v>2053</v>
      </c>
      <c r="B46" s="54" t="s">
        <v>70</v>
      </c>
      <c r="C46" s="54">
        <v>4</v>
      </c>
      <c r="D46" s="54" t="s">
        <v>2101</v>
      </c>
      <c r="E46" s="54" t="str">
        <f t="shared" si="0"/>
        <v>Computer systems::4::Describe the role of cache in a computer system</v>
      </c>
      <c r="F46" s="54" t="s">
        <v>2091</v>
      </c>
      <c r="G46" s="54" t="s">
        <v>18</v>
      </c>
      <c r="H46" s="54" t="s">
        <v>1083</v>
      </c>
    </row>
    <row r="47" spans="1:8" ht="15.75" customHeight="1">
      <c r="A47" s="54" t="s">
        <v>2053</v>
      </c>
      <c r="B47" s="54" t="s">
        <v>70</v>
      </c>
      <c r="C47" s="54">
        <v>5</v>
      </c>
      <c r="D47" s="54" t="s">
        <v>2102</v>
      </c>
      <c r="E47" s="54" t="str">
        <f t="shared" si="0"/>
        <v>Computer systems::5::Explain why a computer system needs secondary storage</v>
      </c>
      <c r="F47" s="54" t="s">
        <v>2091</v>
      </c>
      <c r="G47" s="54" t="s">
        <v>18</v>
      </c>
      <c r="H47" s="54" t="s">
        <v>1083</v>
      </c>
    </row>
    <row r="48" spans="1:8" ht="13">
      <c r="A48" s="54" t="s">
        <v>2053</v>
      </c>
      <c r="B48" s="54" t="s">
        <v>70</v>
      </c>
      <c r="C48" s="54">
        <v>5</v>
      </c>
      <c r="D48" s="54" t="s">
        <v>2103</v>
      </c>
      <c r="E48" s="54" t="str">
        <f t="shared" si="0"/>
        <v>Computer systems::5::State the different types of secondary storage and describe their functional characteristics</v>
      </c>
      <c r="F48" s="54" t="s">
        <v>2091</v>
      </c>
      <c r="G48" s="54" t="s">
        <v>18</v>
      </c>
      <c r="H48" s="54" t="s">
        <v>1083</v>
      </c>
    </row>
    <row r="49" spans="1:8" ht="13">
      <c r="A49" s="54" t="s">
        <v>2053</v>
      </c>
      <c r="B49" s="54" t="s">
        <v>70</v>
      </c>
      <c r="C49" s="54">
        <v>5</v>
      </c>
      <c r="D49" s="54" t="s">
        <v>2104</v>
      </c>
      <c r="E49" s="54" t="str">
        <f t="shared" si="0"/>
        <v>Computer systems::5::State how solid-state memory works and describe its characteristics</v>
      </c>
      <c r="F49" s="54" t="s">
        <v>2091</v>
      </c>
      <c r="G49" s="54" t="s">
        <v>18</v>
      </c>
      <c r="H49" s="54" t="s">
        <v>1083</v>
      </c>
    </row>
    <row r="50" spans="1:8" ht="13">
      <c r="A50" s="54" t="s">
        <v>2053</v>
      </c>
      <c r="B50" s="54" t="s">
        <v>70</v>
      </c>
      <c r="C50" s="54">
        <v>6</v>
      </c>
      <c r="D50" s="54" t="s">
        <v>2105</v>
      </c>
      <c r="E50" s="54" t="str">
        <f t="shared" si="0"/>
        <v>Computer systems::6::Explain how optical and magnetic memory stores data in the form of binary</v>
      </c>
      <c r="F50" s="54" t="s">
        <v>2091</v>
      </c>
      <c r="G50" s="54" t="s">
        <v>18</v>
      </c>
      <c r="H50" s="54" t="s">
        <v>1083</v>
      </c>
    </row>
    <row r="51" spans="1:8" ht="13">
      <c r="A51" s="54" t="s">
        <v>2053</v>
      </c>
      <c r="B51" s="54" t="s">
        <v>70</v>
      </c>
      <c r="C51" s="54">
        <v>6</v>
      </c>
      <c r="D51" s="54" t="s">
        <v>2106</v>
      </c>
      <c r="E51" s="54" t="str">
        <f t="shared" si="0"/>
        <v>Computer systems::6::Describe how data is read from and written to optical and magnetic memory</v>
      </c>
      <c r="F51" s="54" t="s">
        <v>2091</v>
      </c>
      <c r="G51" s="54" t="s">
        <v>18</v>
      </c>
      <c r="H51" s="54" t="s">
        <v>1083</v>
      </c>
    </row>
    <row r="52" spans="1:8" ht="13">
      <c r="A52" s="54" t="s">
        <v>2053</v>
      </c>
      <c r="B52" s="54" t="s">
        <v>70</v>
      </c>
      <c r="C52" s="54">
        <v>6</v>
      </c>
      <c r="D52" s="54" t="s">
        <v>2107</v>
      </c>
      <c r="E52" s="54" t="str">
        <f t="shared" si="0"/>
        <v>Computer systems::6::Apply knowledge of storage devices to compare the three mediums of storage</v>
      </c>
      <c r="F52" s="54" t="s">
        <v>2091</v>
      </c>
      <c r="G52" s="54" t="s">
        <v>18</v>
      </c>
      <c r="H52" s="54" t="s">
        <v>1083</v>
      </c>
    </row>
    <row r="53" spans="1:8" ht="13">
      <c r="A53" s="54" t="s">
        <v>2053</v>
      </c>
      <c r="B53" s="54" t="s">
        <v>70</v>
      </c>
      <c r="C53" s="54">
        <v>7</v>
      </c>
      <c r="D53" s="54" t="s">
        <v>2108</v>
      </c>
      <c r="E53" s="54" t="str">
        <f t="shared" si="0"/>
        <v>Computer systems::7::Apply the knowledge of storage devices to recommend an appropriate device</v>
      </c>
      <c r="F53" s="54" t="s">
        <v>2091</v>
      </c>
      <c r="G53" s="54" t="s">
        <v>18</v>
      </c>
      <c r="H53" s="54" t="s">
        <v>1083</v>
      </c>
    </row>
    <row r="54" spans="1:8" ht="13">
      <c r="A54" s="54" t="s">
        <v>2053</v>
      </c>
      <c r="B54" s="54" t="s">
        <v>70</v>
      </c>
      <c r="C54" s="54">
        <v>7</v>
      </c>
      <c r="D54" s="54" t="s">
        <v>2109</v>
      </c>
      <c r="E54" s="54" t="str">
        <f t="shared" si="0"/>
        <v>Computer systems::7::Describe the limitations of secondary storage</v>
      </c>
      <c r="F54" s="54" t="s">
        <v>2091</v>
      </c>
      <c r="G54" s="54" t="s">
        <v>18</v>
      </c>
      <c r="H54" s="54" t="s">
        <v>1083</v>
      </c>
    </row>
    <row r="55" spans="1:8" ht="13">
      <c r="A55" s="54" t="s">
        <v>2053</v>
      </c>
      <c r="B55" s="54" t="s">
        <v>70</v>
      </c>
      <c r="C55" s="54">
        <v>7</v>
      </c>
      <c r="D55" s="54" t="s">
        <v>2110</v>
      </c>
      <c r="E55" s="54" t="str">
        <f t="shared" si="0"/>
        <v>Computer systems::7::Explain the definition of ‘cloud storage’ and describe the characteristics of cloud storage</v>
      </c>
      <c r="F55" s="54" t="s">
        <v>2091</v>
      </c>
      <c r="G55" s="54" t="s">
        <v>1252</v>
      </c>
      <c r="H55" s="54" t="s">
        <v>1083</v>
      </c>
    </row>
    <row r="56" spans="1:8" ht="13">
      <c r="A56" s="54" t="s">
        <v>2053</v>
      </c>
      <c r="B56" s="54" t="s">
        <v>70</v>
      </c>
      <c r="C56" s="54">
        <v>8</v>
      </c>
      <c r="D56" s="54" t="s">
        <v>2111</v>
      </c>
      <c r="E56" s="54" t="str">
        <f t="shared" si="0"/>
        <v>Computer systems::8::Explore the factors that impact a CPU’s performance</v>
      </c>
      <c r="F56" s="54" t="s">
        <v>2091</v>
      </c>
      <c r="G56" s="54" t="s">
        <v>18</v>
      </c>
      <c r="H56" s="54" t="s">
        <v>1083</v>
      </c>
    </row>
    <row r="57" spans="1:8" ht="13">
      <c r="A57" s="54" t="s">
        <v>2053</v>
      </c>
      <c r="B57" s="54" t="s">
        <v>70</v>
      </c>
      <c r="C57" s="54">
        <v>8</v>
      </c>
      <c r="D57" s="54" t="s">
        <v>2112</v>
      </c>
      <c r="E57" s="54" t="str">
        <f t="shared" si="0"/>
        <v>Computer systems::8::Select components to create a computer system</v>
      </c>
      <c r="F57" s="54" t="s">
        <v>2091</v>
      </c>
      <c r="G57" s="54" t="s">
        <v>1878</v>
      </c>
      <c r="H57" s="54" t="s">
        <v>1083</v>
      </c>
    </row>
    <row r="58" spans="1:8" ht="13">
      <c r="A58" s="54" t="s">
        <v>2053</v>
      </c>
      <c r="B58" s="54" t="s">
        <v>70</v>
      </c>
      <c r="C58" s="54">
        <v>8</v>
      </c>
      <c r="D58" s="54" t="s">
        <v>2113</v>
      </c>
      <c r="E58" s="54" t="str">
        <f t="shared" si="0"/>
        <v>Computer systems::8::Evaluate a computer’s suitability for a given task</v>
      </c>
      <c r="F58" s="54" t="s">
        <v>2091</v>
      </c>
      <c r="G58" s="54" t="s">
        <v>1878</v>
      </c>
      <c r="H58" s="54" t="s">
        <v>1083</v>
      </c>
    </row>
    <row r="59" spans="1:8" ht="13">
      <c r="A59" s="54" t="s">
        <v>2053</v>
      </c>
      <c r="B59" s="54" t="s">
        <v>70</v>
      </c>
      <c r="C59" s="54">
        <v>9</v>
      </c>
      <c r="D59" s="54" t="s">
        <v>2114</v>
      </c>
      <c r="E59" s="54" t="str">
        <f t="shared" si="0"/>
        <v>Computer systems::9::Revise computer systems content covered so far</v>
      </c>
      <c r="F59" s="54" t="s">
        <v>2091</v>
      </c>
      <c r="G59" s="54" t="s">
        <v>18</v>
      </c>
      <c r="H59" s="54" t="s">
        <v>1083</v>
      </c>
    </row>
    <row r="60" spans="1:8" ht="13">
      <c r="A60" s="54" t="s">
        <v>2053</v>
      </c>
      <c r="B60" s="54" t="s">
        <v>70</v>
      </c>
      <c r="C60" s="54">
        <v>9</v>
      </c>
      <c r="D60" s="54" t="s">
        <v>2115</v>
      </c>
      <c r="E60" s="54" t="str">
        <f t="shared" si="0"/>
        <v>Computer systems::9::Design and implement a software project</v>
      </c>
      <c r="F60" s="54" t="s">
        <v>2091</v>
      </c>
      <c r="G60" s="54" t="s">
        <v>1878</v>
      </c>
      <c r="H60" s="54" t="s">
        <v>1083</v>
      </c>
    </row>
    <row r="61" spans="1:8" ht="13">
      <c r="A61" s="54" t="s">
        <v>2053</v>
      </c>
      <c r="B61" s="54" t="s">
        <v>70</v>
      </c>
      <c r="C61" s="54">
        <v>10</v>
      </c>
      <c r="D61" s="54" t="s">
        <v>2116</v>
      </c>
      <c r="E61" s="54" t="str">
        <f t="shared" si="0"/>
        <v>Computer systems::10::Discover the logic gates AND, NOT, and OR, including their symbols and truth tables</v>
      </c>
      <c r="F61" s="54" t="s">
        <v>2091</v>
      </c>
      <c r="G61" s="54" t="s">
        <v>2117</v>
      </c>
      <c r="H61" s="54" t="s">
        <v>1083</v>
      </c>
    </row>
    <row r="62" spans="1:8" ht="13">
      <c r="A62" s="54" t="s">
        <v>2053</v>
      </c>
      <c r="B62" s="54" t="s">
        <v>70</v>
      </c>
      <c r="C62" s="54">
        <v>10</v>
      </c>
      <c r="D62" s="54" t="s">
        <v>2118</v>
      </c>
      <c r="E62" s="54" t="str">
        <f t="shared" si="0"/>
        <v>Computer systems::10::Learn how logic gates are used in carrying out computation</v>
      </c>
      <c r="F62" s="54" t="s">
        <v>2091</v>
      </c>
      <c r="G62" s="54" t="s">
        <v>2117</v>
      </c>
      <c r="H62" s="54" t="s">
        <v>1083</v>
      </c>
    </row>
    <row r="63" spans="1:8" ht="13">
      <c r="A63" s="54" t="s">
        <v>2053</v>
      </c>
      <c r="B63" s="54" t="s">
        <v>70</v>
      </c>
      <c r="C63" s="54">
        <v>10</v>
      </c>
      <c r="D63" s="54" t="s">
        <v>2119</v>
      </c>
      <c r="E63" s="54" t="str">
        <f t="shared" si="0"/>
        <v>Computer systems::10::Design a logical circuit, combining logic gates to solve a problem</v>
      </c>
      <c r="F63" s="54" t="s">
        <v>2091</v>
      </c>
      <c r="G63" s="54" t="s">
        <v>2117</v>
      </c>
      <c r="H63" s="54" t="s">
        <v>1083</v>
      </c>
    </row>
    <row r="64" spans="1:8" ht="13">
      <c r="A64" s="54" t="s">
        <v>2053</v>
      </c>
      <c r="B64" s="54" t="s">
        <v>70</v>
      </c>
      <c r="C64" s="54">
        <v>11</v>
      </c>
      <c r="D64" s="54" t="s">
        <v>2120</v>
      </c>
      <c r="E64" s="54" t="str">
        <f t="shared" si="0"/>
        <v>Computer systems::11::Construct truth tables for a three-input logic circuit</v>
      </c>
      <c r="F64" s="54" t="s">
        <v>2091</v>
      </c>
      <c r="G64" s="54" t="s">
        <v>2117</v>
      </c>
      <c r="H64" s="54" t="s">
        <v>1083</v>
      </c>
    </row>
    <row r="65" spans="1:8" ht="13">
      <c r="A65" s="54" t="s">
        <v>2053</v>
      </c>
      <c r="B65" s="54" t="s">
        <v>70</v>
      </c>
      <c r="C65" s="54">
        <v>11</v>
      </c>
      <c r="D65" s="54" t="s">
        <v>2121</v>
      </c>
      <c r="E65" s="54" t="str">
        <f t="shared" si="0"/>
        <v>Computer systems::11::Write a Boolean expression to describe a logical circuit</v>
      </c>
      <c r="F65" s="54" t="s">
        <v>2091</v>
      </c>
      <c r="G65" s="54" t="s">
        <v>2117</v>
      </c>
      <c r="H65" s="54" t="s">
        <v>1083</v>
      </c>
    </row>
    <row r="66" spans="1:8" ht="13">
      <c r="A66" s="54" t="s">
        <v>2053</v>
      </c>
      <c r="B66" s="54" t="s">
        <v>70</v>
      </c>
      <c r="C66" s="54">
        <v>11</v>
      </c>
      <c r="D66" s="54" t="s">
        <v>2122</v>
      </c>
      <c r="E66" s="54" t="str">
        <f t="shared" si="0"/>
        <v>Computer systems::11::Describe how combinations of logic gates can perform mathematical operations</v>
      </c>
      <c r="F66" s="54" t="s">
        <v>2091</v>
      </c>
      <c r="G66" s="54" t="s">
        <v>2117</v>
      </c>
      <c r="H66" s="54" t="s">
        <v>1083</v>
      </c>
    </row>
    <row r="67" spans="1:8" ht="13">
      <c r="A67" s="54" t="s">
        <v>2053</v>
      </c>
      <c r="B67" s="54" t="s">
        <v>70</v>
      </c>
      <c r="C67" s="54">
        <v>12</v>
      </c>
      <c r="D67" s="54" t="s">
        <v>2123</v>
      </c>
      <c r="E67" s="54" t="str">
        <f t="shared" si="0"/>
        <v>Computer systems::12::Explain the basic commands in the LMC’s assembly code: INP, OUT, STA, LDA, ADD, SUB, and BRP</v>
      </c>
      <c r="F67" s="54" t="s">
        <v>2091</v>
      </c>
      <c r="G67" s="54" t="s">
        <v>1483</v>
      </c>
      <c r="H67" s="54" t="s">
        <v>1083</v>
      </c>
    </row>
    <row r="68" spans="1:8" ht="13">
      <c r="A68" s="54" t="s">
        <v>2053</v>
      </c>
      <c r="B68" s="54" t="s">
        <v>70</v>
      </c>
      <c r="C68" s="54">
        <v>12</v>
      </c>
      <c r="D68" s="54" t="s">
        <v>2124</v>
      </c>
      <c r="E68" s="54" t="str">
        <f t="shared" si="0"/>
        <v>Computer systems::12::Determine that assembly language has a 1:1 relationship with machine code</v>
      </c>
      <c r="F68" s="54" t="s">
        <v>2091</v>
      </c>
      <c r="G68" s="54" t="s">
        <v>18</v>
      </c>
      <c r="H68" s="54" t="s">
        <v>1083</v>
      </c>
    </row>
    <row r="69" spans="1:8" ht="13">
      <c r="A69" s="54" t="s">
        <v>2053</v>
      </c>
      <c r="B69" s="54" t="s">
        <v>70</v>
      </c>
      <c r="C69" s="54">
        <v>13</v>
      </c>
      <c r="D69" s="54" t="s">
        <v>2125</v>
      </c>
      <c r="E69" s="54" t="str">
        <f t="shared" si="0"/>
        <v>Computer systems::13::Design and write your own program in assembly language</v>
      </c>
      <c r="F69" s="54" t="s">
        <v>2091</v>
      </c>
      <c r="G69" s="54" t="s">
        <v>1483</v>
      </c>
      <c r="H69" s="54" t="s">
        <v>1083</v>
      </c>
    </row>
    <row r="70" spans="1:8" ht="13">
      <c r="A70" s="54" t="s">
        <v>2053</v>
      </c>
      <c r="B70" s="54" t="s">
        <v>94</v>
      </c>
      <c r="C70" s="54">
        <v>1</v>
      </c>
      <c r="D70" s="54" t="s">
        <v>2126</v>
      </c>
      <c r="E70" s="54" t="str">
        <f t="shared" si="0"/>
        <v>Cyber security::1::Define the terms cybersecurity and network security, explain their importance, and distinguish between the two</v>
      </c>
      <c r="F70" s="54" t="s">
        <v>2127</v>
      </c>
      <c r="G70" s="54" t="s">
        <v>1157</v>
      </c>
      <c r="H70" s="54" t="s">
        <v>51</v>
      </c>
    </row>
    <row r="71" spans="1:8" ht="13">
      <c r="A71" s="54" t="s">
        <v>2053</v>
      </c>
      <c r="B71" s="54" t="s">
        <v>94</v>
      </c>
      <c r="C71" s="54">
        <v>1</v>
      </c>
      <c r="D71" s="54" t="s">
        <v>2128</v>
      </c>
      <c r="E71" s="54" t="str">
        <f t="shared" si="0"/>
        <v>Cyber security::1::Describe the features of a network that make it vulnerable to attack</v>
      </c>
      <c r="F71" s="54" t="s">
        <v>2127</v>
      </c>
      <c r="G71" s="54" t="s">
        <v>1334</v>
      </c>
      <c r="H71" s="54" t="s">
        <v>51</v>
      </c>
    </row>
    <row r="72" spans="1:8" ht="13">
      <c r="A72" s="54" t="s">
        <v>2053</v>
      </c>
      <c r="B72" s="54" t="s">
        <v>94</v>
      </c>
      <c r="C72" s="54">
        <v>1</v>
      </c>
      <c r="D72" s="54" t="s">
        <v>2129</v>
      </c>
      <c r="E72" s="54" t="str">
        <f t="shared" si="0"/>
        <v>Cyber security::1::Describe the impact of cybercrime on businesses and individuals</v>
      </c>
      <c r="F72" s="54" t="s">
        <v>2127</v>
      </c>
      <c r="G72" s="54" t="s">
        <v>1347</v>
      </c>
      <c r="H72" s="54" t="s">
        <v>51</v>
      </c>
    </row>
    <row r="73" spans="1:8" ht="13">
      <c r="A73" s="54" t="s">
        <v>2053</v>
      </c>
      <c r="B73" s="54" t="s">
        <v>94</v>
      </c>
      <c r="C73" s="54">
        <v>1</v>
      </c>
      <c r="D73" s="54" t="s">
        <v>2130</v>
      </c>
      <c r="E73" s="54" t="str">
        <f t="shared" si="0"/>
        <v>Cyber security::1::Analyse an attack on a company and identify what motivated the hackers</v>
      </c>
      <c r="F73" s="54" t="s">
        <v>2127</v>
      </c>
      <c r="G73" s="54" t="s">
        <v>1157</v>
      </c>
      <c r="H73" s="54" t="s">
        <v>51</v>
      </c>
    </row>
    <row r="74" spans="1:8" ht="13">
      <c r="A74" s="54" t="s">
        <v>2053</v>
      </c>
      <c r="B74" s="54" t="s">
        <v>94</v>
      </c>
      <c r="C74" s="54">
        <v>2</v>
      </c>
      <c r="D74" s="54" t="s">
        <v>2131</v>
      </c>
      <c r="E74" s="54" t="str">
        <f t="shared" si="0"/>
        <v>Cyber security::2::Demonstrate knowledge of social engineering in role play and case studies</v>
      </c>
      <c r="F74" s="54" t="s">
        <v>2127</v>
      </c>
      <c r="G74" s="54" t="s">
        <v>1157</v>
      </c>
      <c r="H74" s="54" t="s">
        <v>51</v>
      </c>
    </row>
    <row r="75" spans="1:8" ht="13">
      <c r="A75" s="54" t="s">
        <v>2053</v>
      </c>
      <c r="B75" s="54" t="s">
        <v>94</v>
      </c>
      <c r="C75" s="54">
        <v>2</v>
      </c>
      <c r="D75" s="54" t="s">
        <v>2132</v>
      </c>
      <c r="E75" s="54" t="str">
        <f t="shared" si="0"/>
        <v>Cyber security::2::Identify and describe non-automated forms of cyberattack and how humans can be the weak points in an organisation</v>
      </c>
      <c r="F75" s="54" t="s">
        <v>2127</v>
      </c>
      <c r="G75" s="54" t="s">
        <v>1157</v>
      </c>
      <c r="H75" s="54" t="s">
        <v>51</v>
      </c>
    </row>
    <row r="76" spans="1:8" ht="13">
      <c r="A76" s="54" t="s">
        <v>2053</v>
      </c>
      <c r="B76" s="54" t="s">
        <v>94</v>
      </c>
      <c r="C76" s="54">
        <v>3</v>
      </c>
      <c r="D76" s="54" t="s">
        <v>2133</v>
      </c>
      <c r="E76" s="54" t="str">
        <f t="shared" si="0"/>
        <v>Cyber security::3::Analyse a real cyberattack and identify the network or software weaknesses that enabled it to happen</v>
      </c>
      <c r="F76" s="54" t="s">
        <v>2127</v>
      </c>
      <c r="G76" s="54" t="s">
        <v>1157</v>
      </c>
      <c r="H76" s="54" t="s">
        <v>51</v>
      </c>
    </row>
    <row r="77" spans="1:8" ht="13">
      <c r="A77" s="54" t="s">
        <v>2053</v>
      </c>
      <c r="B77" s="54" t="s">
        <v>94</v>
      </c>
      <c r="C77" s="54">
        <v>3</v>
      </c>
      <c r="D77" s="54" t="s">
        <v>2134</v>
      </c>
      <c r="E77" s="54" t="str">
        <f t="shared" si="0"/>
        <v>Cyber security::3::Describe automated forms of cyberattack</v>
      </c>
      <c r="F77" s="54" t="s">
        <v>2127</v>
      </c>
      <c r="G77" s="54" t="s">
        <v>1157</v>
      </c>
      <c r="H77" s="54" t="s">
        <v>51</v>
      </c>
    </row>
    <row r="78" spans="1:8" ht="13">
      <c r="A78" s="54" t="s">
        <v>2053</v>
      </c>
      <c r="B78" s="54" t="s">
        <v>94</v>
      </c>
      <c r="C78" s="54">
        <v>4</v>
      </c>
      <c r="D78" s="54" t="s">
        <v>2135</v>
      </c>
      <c r="E78" s="54" t="str">
        <f t="shared" si="0"/>
        <v>Cyber security::4::Describe ways in which organisations use software to protect against cyberattacks</v>
      </c>
      <c r="F78" s="54" t="s">
        <v>2127</v>
      </c>
      <c r="G78" s="54" t="s">
        <v>1157</v>
      </c>
      <c r="H78" s="54" t="s">
        <v>51</v>
      </c>
    </row>
    <row r="79" spans="1:8" ht="13">
      <c r="A79" s="54" t="s">
        <v>2053</v>
      </c>
      <c r="B79" s="54" t="s">
        <v>94</v>
      </c>
      <c r="C79" s="54">
        <v>4</v>
      </c>
      <c r="D79" s="54" t="s">
        <v>2136</v>
      </c>
      <c r="E79" s="54" t="str">
        <f t="shared" si="0"/>
        <v>Cyber security::4::Identify how software can be used to protect from cyberattacks</v>
      </c>
      <c r="F79" s="54" t="s">
        <v>2127</v>
      </c>
      <c r="G79" s="54" t="s">
        <v>2137</v>
      </c>
      <c r="H79" s="54" t="s">
        <v>51</v>
      </c>
    </row>
    <row r="80" spans="1:8" ht="13">
      <c r="A80" s="54" t="s">
        <v>2053</v>
      </c>
      <c r="B80" s="54" t="s">
        <v>94</v>
      </c>
      <c r="C80" s="54">
        <v>5</v>
      </c>
      <c r="D80" s="54" t="s">
        <v>2138</v>
      </c>
      <c r="E80" s="54" t="str">
        <f t="shared" si="0"/>
        <v>Cyber security::5::Describe different ways to protect software systems and networks (2 of 2)</v>
      </c>
      <c r="F80" s="54" t="s">
        <v>2127</v>
      </c>
      <c r="G80" s="54" t="s">
        <v>1157</v>
      </c>
      <c r="H80" s="54" t="s">
        <v>51</v>
      </c>
    </row>
    <row r="81" spans="1:8" ht="13">
      <c r="A81" s="54" t="s">
        <v>2053</v>
      </c>
      <c r="B81" s="54" t="s">
        <v>94</v>
      </c>
      <c r="C81" s="54">
        <v>5</v>
      </c>
      <c r="D81" s="54" t="s">
        <v>2139</v>
      </c>
      <c r="E81" s="54" t="str">
        <f t="shared" si="0"/>
        <v>Cyber security::5::Understand the need for, and importance of, network security</v>
      </c>
      <c r="F81" s="54" t="s">
        <v>2127</v>
      </c>
      <c r="G81" s="54" t="s">
        <v>1334</v>
      </c>
      <c r="H81" s="54" t="s">
        <v>51</v>
      </c>
    </row>
    <row r="82" spans="1:8" ht="13">
      <c r="A82" s="54" t="s">
        <v>2053</v>
      </c>
      <c r="B82" s="54" t="s">
        <v>94</v>
      </c>
      <c r="C82" s="54">
        <v>5</v>
      </c>
      <c r="D82" s="54" t="s">
        <v>2140</v>
      </c>
      <c r="E82" s="54" t="str">
        <f t="shared" si="0"/>
        <v>Cyber security::5::Explain a number of methods of achieving network security</v>
      </c>
      <c r="F82" s="54" t="s">
        <v>2127</v>
      </c>
      <c r="G82" s="54" t="s">
        <v>1157</v>
      </c>
      <c r="H82" s="54" t="s">
        <v>51</v>
      </c>
    </row>
    <row r="83" spans="1:8" ht="13">
      <c r="A83" s="54" t="s">
        <v>2053</v>
      </c>
      <c r="B83" s="54" t="s">
        <v>94</v>
      </c>
      <c r="C83" s="54">
        <v>6</v>
      </c>
      <c r="D83" s="54" t="s">
        <v>2141</v>
      </c>
      <c r="E83" s="54" t="str">
        <f t="shared" si="0"/>
        <v>Cyber security::6::Describe different methods of identifying cybersecurity vulnerabilities, such as: penetration testing, ethical hacking, network forensics, commercial analysis tools, review of network and user policies</v>
      </c>
      <c r="F83" s="54" t="s">
        <v>2127</v>
      </c>
      <c r="G83" s="54" t="s">
        <v>1334</v>
      </c>
      <c r="H83" s="54" t="s">
        <v>51</v>
      </c>
    </row>
    <row r="84" spans="1:8" ht="13">
      <c r="A84" s="54" t="s">
        <v>2053</v>
      </c>
      <c r="B84" s="54" t="s">
        <v>94</v>
      </c>
      <c r="C84" s="54">
        <v>7</v>
      </c>
      <c r="D84" s="54" t="s">
        <v>2142</v>
      </c>
      <c r="E84" s="54" t="str">
        <f t="shared" si="0"/>
        <v>Cyber security::7::Evaluate the potential for cybersecurity careers</v>
      </c>
      <c r="F84" s="54" t="s">
        <v>2127</v>
      </c>
      <c r="G84" s="54" t="s">
        <v>1347</v>
      </c>
      <c r="H84" s="54" t="s">
        <v>51</v>
      </c>
    </row>
    <row r="85" spans="1:8" ht="13">
      <c r="A85" s="54" t="s">
        <v>2053</v>
      </c>
      <c r="B85" s="54" t="s">
        <v>94</v>
      </c>
      <c r="C85" s="54">
        <v>7</v>
      </c>
      <c r="D85" s="54" t="s">
        <v>2143</v>
      </c>
      <c r="E85" s="54" t="str">
        <f t="shared" si="0"/>
        <v>Cyber security::7::Apply knowledge of cybersecurity to GCSE-style questions</v>
      </c>
      <c r="F85" s="54" t="s">
        <v>2127</v>
      </c>
      <c r="G85" s="54" t="s">
        <v>2144</v>
      </c>
      <c r="H85" s="54" t="s">
        <v>51</v>
      </c>
    </row>
    <row r="86" spans="1:8" ht="13">
      <c r="A86" s="54" t="s">
        <v>2053</v>
      </c>
      <c r="B86" s="54" t="s">
        <v>115</v>
      </c>
      <c r="C86" s="54">
        <v>1</v>
      </c>
      <c r="D86" s="54" t="s">
        <v>2145</v>
      </c>
      <c r="E86" s="54" t="str">
        <f t="shared" si="0"/>
        <v>Databases and SQL::1::Describe a database</v>
      </c>
      <c r="F86" s="54">
        <v>4.0999999999999996</v>
      </c>
      <c r="G86" s="54" t="s">
        <v>12</v>
      </c>
      <c r="H86" s="54" t="s">
        <v>1083</v>
      </c>
    </row>
    <row r="87" spans="1:8" ht="13">
      <c r="A87" s="54" t="s">
        <v>2053</v>
      </c>
      <c r="B87" s="54" t="s">
        <v>115</v>
      </c>
      <c r="C87" s="54">
        <v>1</v>
      </c>
      <c r="D87" s="54" t="s">
        <v>2146</v>
      </c>
      <c r="E87" s="54" t="str">
        <f t="shared" si="0"/>
        <v>Databases and SQL::1::Define database key terms (table, record, field, primary key, foreign key)</v>
      </c>
      <c r="F87" s="54">
        <v>4.0999999999999996</v>
      </c>
      <c r="G87" s="54" t="s">
        <v>12</v>
      </c>
      <c r="H87" s="54" t="s">
        <v>1083</v>
      </c>
    </row>
    <row r="88" spans="1:8" ht="13">
      <c r="A88" s="54" t="s">
        <v>2053</v>
      </c>
      <c r="B88" s="54" t="s">
        <v>115</v>
      </c>
      <c r="C88" s="54">
        <v>1</v>
      </c>
      <c r="D88" s="54" t="s">
        <v>2147</v>
      </c>
      <c r="E88" s="54" t="str">
        <f t="shared" si="0"/>
        <v>Databases and SQL::1::Describe a flat file database</v>
      </c>
      <c r="F88" s="54">
        <v>4.0999999999999996</v>
      </c>
      <c r="G88" s="54" t="s">
        <v>12</v>
      </c>
      <c r="H88" s="54" t="s">
        <v>1083</v>
      </c>
    </row>
    <row r="89" spans="1:8" ht="13">
      <c r="A89" s="54" t="s">
        <v>2053</v>
      </c>
      <c r="B89" s="54" t="s">
        <v>115</v>
      </c>
      <c r="C89" s="54">
        <v>1</v>
      </c>
      <c r="D89" s="54" t="s">
        <v>2148</v>
      </c>
      <c r="E89" s="54" t="str">
        <f t="shared" si="0"/>
        <v>Databases and SQL::1::Describe a relational database</v>
      </c>
      <c r="F89" s="54">
        <v>4.0999999999999996</v>
      </c>
      <c r="G89" s="54" t="s">
        <v>12</v>
      </c>
      <c r="H89" s="54" t="s">
        <v>1083</v>
      </c>
    </row>
    <row r="90" spans="1:8" ht="13">
      <c r="A90" s="54" t="s">
        <v>2053</v>
      </c>
      <c r="B90" s="54" t="s">
        <v>115</v>
      </c>
      <c r="C90" s="54">
        <v>2</v>
      </c>
      <c r="D90" s="54" t="s">
        <v>2149</v>
      </c>
      <c r="E90" s="54" t="str">
        <f t="shared" si="0"/>
        <v>Databases and SQL::2::Describe the function of SQL</v>
      </c>
      <c r="F90" s="54">
        <v>4.0999999999999996</v>
      </c>
      <c r="G90" s="54" t="s">
        <v>1892</v>
      </c>
      <c r="H90" s="54" t="s">
        <v>1083</v>
      </c>
    </row>
    <row r="91" spans="1:8" ht="13">
      <c r="A91" s="54" t="s">
        <v>2053</v>
      </c>
      <c r="B91" s="54" t="s">
        <v>115</v>
      </c>
      <c r="C91" s="54">
        <v>2</v>
      </c>
      <c r="D91" s="54" t="s">
        <v>2150</v>
      </c>
      <c r="E91" s="54" t="str">
        <f t="shared" si="0"/>
        <v>Databases and SQL::2::Use SQL to retrieve data from a table in a relational database</v>
      </c>
      <c r="F91" s="54">
        <v>4.0999999999999996</v>
      </c>
      <c r="G91" s="54" t="s">
        <v>1892</v>
      </c>
      <c r="H91" s="54" t="s">
        <v>1083</v>
      </c>
    </row>
    <row r="92" spans="1:8" ht="13">
      <c r="A92" s="54" t="s">
        <v>2053</v>
      </c>
      <c r="B92" s="54" t="s">
        <v>115</v>
      </c>
      <c r="C92" s="54">
        <v>2</v>
      </c>
      <c r="D92" s="54" t="s">
        <v>2151</v>
      </c>
      <c r="E92" s="54" t="str">
        <f t="shared" si="0"/>
        <v>Databases and SQL::2::Use SQL to retrieve data from more than one table in a relational database</v>
      </c>
      <c r="F92" s="54">
        <v>4.0999999999999996</v>
      </c>
      <c r="G92" s="54" t="s">
        <v>1892</v>
      </c>
      <c r="H92" s="54" t="s">
        <v>1083</v>
      </c>
    </row>
    <row r="93" spans="1:8" ht="13">
      <c r="A93" s="54" t="s">
        <v>2053</v>
      </c>
      <c r="B93" s="54" t="s">
        <v>115</v>
      </c>
      <c r="C93" s="54">
        <v>3</v>
      </c>
      <c r="D93" s="54" t="s">
        <v>2152</v>
      </c>
      <c r="E93" s="54" t="str">
        <f t="shared" si="0"/>
        <v>Databases and SQL::3::Describe the function of different data types.</v>
      </c>
      <c r="F93" s="54">
        <v>4.0999999999999996</v>
      </c>
      <c r="G93" s="54" t="s">
        <v>12</v>
      </c>
      <c r="H93" s="54" t="s">
        <v>1083</v>
      </c>
    </row>
    <row r="94" spans="1:8" ht="13">
      <c r="A94" s="54" t="s">
        <v>2053</v>
      </c>
      <c r="B94" s="54" t="s">
        <v>115</v>
      </c>
      <c r="C94" s="54">
        <v>3</v>
      </c>
      <c r="D94" s="54" t="s">
        <v>2153</v>
      </c>
      <c r="E94" s="54" t="str">
        <f t="shared" si="0"/>
        <v>Databases and SQL::3::Use SQL to insert, update and delete data into a relational database</v>
      </c>
      <c r="F94" s="54">
        <v>4.0999999999999996</v>
      </c>
      <c r="G94" s="54" t="s">
        <v>1892</v>
      </c>
      <c r="H94" s="54" t="s">
        <v>1083</v>
      </c>
    </row>
    <row r="95" spans="1:8" ht="13">
      <c r="A95" s="54" t="s">
        <v>2053</v>
      </c>
      <c r="B95" s="54" t="s">
        <v>115</v>
      </c>
      <c r="C95" s="54">
        <v>4</v>
      </c>
      <c r="D95" s="54" t="s">
        <v>2154</v>
      </c>
      <c r="E95" s="54" t="str">
        <f t="shared" si="0"/>
        <v>Databases and SQL::4::Interrogate and update an existing database</v>
      </c>
      <c r="F95" s="54">
        <v>4.0999999999999996</v>
      </c>
      <c r="G95" s="54" t="s">
        <v>1892</v>
      </c>
      <c r="H95" s="54" t="s">
        <v>1083</v>
      </c>
    </row>
    <row r="96" spans="1:8" ht="13">
      <c r="A96" s="54" t="s">
        <v>2053</v>
      </c>
      <c r="B96" s="54" t="s">
        <v>115</v>
      </c>
      <c r="C96" s="54">
        <v>5</v>
      </c>
      <c r="D96" s="54" t="s">
        <v>2154</v>
      </c>
      <c r="E96" s="54" t="str">
        <f t="shared" si="0"/>
        <v>Databases and SQL::5::Interrogate and update an existing database</v>
      </c>
      <c r="F96" s="54">
        <v>4.0999999999999996</v>
      </c>
      <c r="G96" s="54" t="s">
        <v>1892</v>
      </c>
      <c r="H96" s="54" t="s">
        <v>1083</v>
      </c>
    </row>
    <row r="97" spans="1:8" ht="13">
      <c r="A97" s="54" t="s">
        <v>2053</v>
      </c>
      <c r="B97" s="54" t="s">
        <v>2155</v>
      </c>
      <c r="C97" s="54">
        <v>1</v>
      </c>
      <c r="D97" s="54" t="s">
        <v>2156</v>
      </c>
      <c r="E97" s="54" t="str">
        <f t="shared" si="0"/>
        <v>Data representations::1::Give examples of the use of representation</v>
      </c>
      <c r="F97" s="54" t="s">
        <v>1941</v>
      </c>
      <c r="G97" s="54" t="s">
        <v>12</v>
      </c>
      <c r="H97" s="54" t="s">
        <v>1083</v>
      </c>
    </row>
    <row r="98" spans="1:8" ht="13">
      <c r="A98" s="54" t="s">
        <v>2053</v>
      </c>
      <c r="B98" s="54" t="s">
        <v>2155</v>
      </c>
      <c r="C98" s="54">
        <v>1</v>
      </c>
      <c r="D98" s="54" t="s">
        <v>2157</v>
      </c>
      <c r="E98" s="54" t="str">
        <f t="shared" si="0"/>
        <v>Data representations::1::Explain how binary relates to two-state electrical signals</v>
      </c>
      <c r="F98" s="54" t="s">
        <v>1941</v>
      </c>
      <c r="G98" s="54" t="s">
        <v>12</v>
      </c>
      <c r="H98" s="54" t="s">
        <v>1083</v>
      </c>
    </row>
    <row r="99" spans="1:8" ht="13">
      <c r="A99" s="54" t="s">
        <v>2053</v>
      </c>
      <c r="B99" s="54" t="s">
        <v>2155</v>
      </c>
      <c r="C99" s="54">
        <v>2</v>
      </c>
      <c r="D99" s="54" t="s">
        <v>2158</v>
      </c>
      <c r="E99" s="54" t="str">
        <f t="shared" si="0"/>
        <v>Data representations::2::Work out what range of numbers can be stored in a specific number of bits</v>
      </c>
      <c r="F99" s="54" t="s">
        <v>1941</v>
      </c>
      <c r="G99" s="54" t="s">
        <v>12</v>
      </c>
      <c r="H99" s="54" t="s">
        <v>1083</v>
      </c>
    </row>
    <row r="100" spans="1:8" ht="13">
      <c r="A100" s="54" t="s">
        <v>2053</v>
      </c>
      <c r="B100" s="54" t="s">
        <v>2155</v>
      </c>
      <c r="C100" s="54">
        <v>2</v>
      </c>
      <c r="D100" s="54" t="s">
        <v>2159</v>
      </c>
      <c r="E100" s="54" t="str">
        <f t="shared" si="0"/>
        <v>Data representations::2::Explain the concept of a number base</v>
      </c>
      <c r="F100" s="54" t="s">
        <v>1941</v>
      </c>
      <c r="G100" s="54" t="s">
        <v>12</v>
      </c>
      <c r="H100" s="54" t="s">
        <v>1083</v>
      </c>
    </row>
    <row r="101" spans="1:8" ht="13">
      <c r="A101" s="54" t="s">
        <v>2053</v>
      </c>
      <c r="B101" s="54" t="s">
        <v>2155</v>
      </c>
      <c r="C101" s="54">
        <v>2</v>
      </c>
      <c r="D101" s="54" t="s">
        <v>2160</v>
      </c>
      <c r="E101" s="54" t="str">
        <f t="shared" si="0"/>
        <v>Data representations::2::Convert a positive binary integer to decimal</v>
      </c>
      <c r="F101" s="54" t="s">
        <v>1941</v>
      </c>
      <c r="G101" s="54" t="s">
        <v>12</v>
      </c>
      <c r="H101" s="54" t="s">
        <v>1083</v>
      </c>
    </row>
    <row r="102" spans="1:8" ht="13">
      <c r="A102" s="54" t="s">
        <v>2053</v>
      </c>
      <c r="B102" s="54" t="s">
        <v>2155</v>
      </c>
      <c r="C102" s="54">
        <v>2</v>
      </c>
      <c r="D102" s="54" t="s">
        <v>2161</v>
      </c>
      <c r="E102" s="54" t="str">
        <f t="shared" si="0"/>
        <v>Data representations::2::Convert a decimal number to binary</v>
      </c>
      <c r="F102" s="54" t="s">
        <v>1941</v>
      </c>
      <c r="G102" s="54" t="s">
        <v>12</v>
      </c>
      <c r="H102" s="54" t="s">
        <v>1083</v>
      </c>
    </row>
    <row r="103" spans="1:8" ht="13">
      <c r="A103" s="54" t="s">
        <v>2053</v>
      </c>
      <c r="B103" s="54" t="s">
        <v>2155</v>
      </c>
      <c r="C103" s="54">
        <v>2</v>
      </c>
      <c r="D103" s="54" t="s">
        <v>2162</v>
      </c>
      <c r="E103" s="54" t="str">
        <f t="shared" si="0"/>
        <v>Data representations::2::Define the term ‘bit’</v>
      </c>
      <c r="F103" s="54" t="s">
        <v>1941</v>
      </c>
      <c r="G103" s="54" t="s">
        <v>12</v>
      </c>
      <c r="H103" s="54" t="s">
        <v>1083</v>
      </c>
    </row>
    <row r="104" spans="1:8" ht="13">
      <c r="A104" s="54" t="s">
        <v>2053</v>
      </c>
      <c r="B104" s="54" t="s">
        <v>2155</v>
      </c>
      <c r="C104" s="54">
        <v>3</v>
      </c>
      <c r="D104" s="54" t="s">
        <v>2163</v>
      </c>
      <c r="E104" s="54" t="str">
        <f t="shared" si="0"/>
        <v>Data representations::3::Perform binary shifts (logical)</v>
      </c>
      <c r="F104" s="54" t="s">
        <v>1941</v>
      </c>
      <c r="G104" s="54" t="s">
        <v>12</v>
      </c>
      <c r="H104" s="54" t="s">
        <v>1083</v>
      </c>
    </row>
    <row r="105" spans="1:8" ht="13">
      <c r="A105" s="54" t="s">
        <v>2053</v>
      </c>
      <c r="B105" s="54" t="s">
        <v>2155</v>
      </c>
      <c r="C105" s="54">
        <v>3</v>
      </c>
      <c r="D105" s="54" t="s">
        <v>2164</v>
      </c>
      <c r="E105" s="54" t="str">
        <f t="shared" si="0"/>
        <v>Data representations::3::Perform binary addition</v>
      </c>
      <c r="F105" s="54" t="s">
        <v>1941</v>
      </c>
      <c r="G105" s="54" t="s">
        <v>12</v>
      </c>
      <c r="H105" s="54" t="s">
        <v>1083</v>
      </c>
    </row>
    <row r="106" spans="1:8" ht="13">
      <c r="A106" s="54" t="s">
        <v>2053</v>
      </c>
      <c r="B106" s="54" t="s">
        <v>2155</v>
      </c>
      <c r="C106" s="54">
        <v>3</v>
      </c>
      <c r="D106" s="54" t="s">
        <v>2165</v>
      </c>
      <c r="E106" s="54" t="str">
        <f t="shared" si="0"/>
        <v>Data representations::3::Explain why overflow might occur</v>
      </c>
      <c r="F106" s="54" t="s">
        <v>1941</v>
      </c>
      <c r="G106" s="54" t="s">
        <v>12</v>
      </c>
      <c r="H106" s="54" t="s">
        <v>1083</v>
      </c>
    </row>
    <row r="107" spans="1:8" ht="13">
      <c r="A107" s="54" t="s">
        <v>2053</v>
      </c>
      <c r="B107" s="54" t="s">
        <v>2155</v>
      </c>
      <c r="C107" s="54">
        <v>3</v>
      </c>
      <c r="D107" s="54" t="s">
        <v>2166</v>
      </c>
      <c r="E107" s="54" t="str">
        <f t="shared" si="0"/>
        <v>Data representations::3::Define the term ‘byte’</v>
      </c>
      <c r="F107" s="54" t="s">
        <v>1941</v>
      </c>
      <c r="G107" s="54" t="s">
        <v>12</v>
      </c>
      <c r="H107" s="54" t="s">
        <v>1083</v>
      </c>
    </row>
    <row r="108" spans="1:8" ht="13">
      <c r="A108" s="54" t="s">
        <v>2053</v>
      </c>
      <c r="B108" s="54" t="s">
        <v>2155</v>
      </c>
      <c r="C108" s="54">
        <v>4</v>
      </c>
      <c r="D108" s="54" t="s">
        <v>2167</v>
      </c>
      <c r="E108" s="54" t="str">
        <f t="shared" si="0"/>
        <v>Data representations::4::Explain how numbers are represented using hexadecimal</v>
      </c>
      <c r="F108" s="54" t="s">
        <v>1941</v>
      </c>
      <c r="G108" s="54" t="s">
        <v>12</v>
      </c>
      <c r="H108" s="54" t="s">
        <v>1083</v>
      </c>
    </row>
    <row r="109" spans="1:8" ht="13">
      <c r="A109" s="54" t="s">
        <v>2053</v>
      </c>
      <c r="B109" s="54" t="s">
        <v>2155</v>
      </c>
      <c r="C109" s="54">
        <v>4</v>
      </c>
      <c r="D109" s="54" t="s">
        <v>2168</v>
      </c>
      <c r="E109" s="54" t="str">
        <f t="shared" si="0"/>
        <v>Data representations::4::Convert decimal numbers to and from hexadecimal</v>
      </c>
      <c r="F109" s="54" t="s">
        <v>1941</v>
      </c>
      <c r="G109" s="54" t="s">
        <v>12</v>
      </c>
      <c r="H109" s="54" t="s">
        <v>1083</v>
      </c>
    </row>
    <row r="110" spans="1:8" ht="13">
      <c r="A110" s="54" t="s">
        <v>2053</v>
      </c>
      <c r="B110" s="54" t="s">
        <v>2155</v>
      </c>
      <c r="C110" s="54">
        <v>4</v>
      </c>
      <c r="D110" s="54" t="s">
        <v>2169</v>
      </c>
      <c r="E110" s="54" t="str">
        <f t="shared" si="0"/>
        <v>Data representations::4::Explain why and where hexadecimal notation is used</v>
      </c>
      <c r="F110" s="54" t="s">
        <v>1941</v>
      </c>
      <c r="G110" s="54" t="s">
        <v>12</v>
      </c>
      <c r="H110" s="54" t="s">
        <v>1083</v>
      </c>
    </row>
    <row r="111" spans="1:8" ht="13">
      <c r="A111" s="54" t="s">
        <v>2053</v>
      </c>
      <c r="B111" s="54" t="s">
        <v>2155</v>
      </c>
      <c r="C111" s="54">
        <v>5</v>
      </c>
      <c r="D111" s="54" t="s">
        <v>2170</v>
      </c>
      <c r="E111" s="54" t="str">
        <f t="shared" si="0"/>
        <v>Data representations::5::Be able to convert binary numbers to and from hexadecimal</v>
      </c>
      <c r="F111" s="54" t="s">
        <v>1941</v>
      </c>
      <c r="G111" s="54" t="s">
        <v>12</v>
      </c>
      <c r="H111" s="54" t="s">
        <v>1083</v>
      </c>
    </row>
    <row r="112" spans="1:8" ht="13">
      <c r="A112" s="54" t="s">
        <v>2053</v>
      </c>
      <c r="B112" s="54" t="s">
        <v>2155</v>
      </c>
      <c r="C112" s="54">
        <v>5</v>
      </c>
      <c r="D112" s="54" t="s">
        <v>2171</v>
      </c>
      <c r="E112" s="54" t="str">
        <f t="shared" si="0"/>
        <v>Data representations::5::Define the term ‘nibble’</v>
      </c>
      <c r="F112" s="54" t="s">
        <v>1941</v>
      </c>
      <c r="G112" s="54" t="s">
        <v>12</v>
      </c>
      <c r="H112" s="54" t="s">
        <v>1083</v>
      </c>
    </row>
    <row r="113" spans="1:8" ht="13">
      <c r="A113" s="54" t="s">
        <v>2053</v>
      </c>
      <c r="B113" s="54" t="s">
        <v>2155</v>
      </c>
      <c r="C113" s="54">
        <v>6</v>
      </c>
      <c r="D113" s="54" t="s">
        <v>2172</v>
      </c>
      <c r="E113" s="54" t="str">
        <f t="shared" si="0"/>
        <v>Data representations::6::Explain how ASCII is used to represent characters, and its limitations</v>
      </c>
      <c r="F113" s="54" t="s">
        <v>1941</v>
      </c>
      <c r="G113" s="54" t="s">
        <v>12</v>
      </c>
      <c r="H113" s="54" t="s">
        <v>1083</v>
      </c>
    </row>
    <row r="114" spans="1:8" ht="13">
      <c r="A114" s="54" t="s">
        <v>2053</v>
      </c>
      <c r="B114" s="54" t="s">
        <v>2155</v>
      </c>
      <c r="C114" s="54">
        <v>6</v>
      </c>
      <c r="D114" s="54" t="s">
        <v>2173</v>
      </c>
      <c r="E114" s="54" t="str">
        <f t="shared" si="0"/>
        <v>Data representations::6::Explain what a character set is</v>
      </c>
      <c r="F114" s="54" t="s">
        <v>1941</v>
      </c>
      <c r="G114" s="54" t="s">
        <v>12</v>
      </c>
      <c r="H114" s="54" t="s">
        <v>1083</v>
      </c>
    </row>
    <row r="115" spans="1:8" ht="13">
      <c r="A115" s="54" t="s">
        <v>2053</v>
      </c>
      <c r="B115" s="54" t="s">
        <v>2155</v>
      </c>
      <c r="C115" s="54">
        <v>6</v>
      </c>
      <c r="D115" s="54" t="s">
        <v>2174</v>
      </c>
      <c r="E115" s="54" t="str">
        <f t="shared" si="0"/>
        <v>Data representations::6::Explain the need for Unicode</v>
      </c>
      <c r="F115" s="54" t="s">
        <v>1941</v>
      </c>
      <c r="G115" s="54" t="s">
        <v>12</v>
      </c>
      <c r="H115" s="54" t="s">
        <v>1083</v>
      </c>
    </row>
    <row r="116" spans="1:8" ht="13">
      <c r="A116" s="54" t="s">
        <v>2053</v>
      </c>
      <c r="B116" s="54" t="s">
        <v>2155</v>
      </c>
      <c r="C116" s="54">
        <v>6</v>
      </c>
      <c r="D116" s="54" t="s">
        <v>2175</v>
      </c>
      <c r="E116" s="54" t="str">
        <f t="shared" si="0"/>
        <v>Data representations::6::Be able to calculate the number of bits needed to store a piece of text</v>
      </c>
      <c r="F116" s="54" t="s">
        <v>1941</v>
      </c>
      <c r="G116" s="54" t="s">
        <v>12</v>
      </c>
      <c r="H116" s="54" t="s">
        <v>1083</v>
      </c>
    </row>
    <row r="117" spans="1:8" ht="13">
      <c r="A117" s="54" t="s">
        <v>2053</v>
      </c>
      <c r="B117" s="54" t="s">
        <v>2155</v>
      </c>
      <c r="C117" s="54">
        <v>7</v>
      </c>
      <c r="D117" s="54" t="s">
        <v>2176</v>
      </c>
      <c r="E117" s="54" t="str">
        <f t="shared" si="0"/>
        <v>Data representations::7::Describe what a pixel is and how pixels relate to images</v>
      </c>
      <c r="F117" s="54" t="s">
        <v>1941</v>
      </c>
      <c r="G117" s="54" t="s">
        <v>12</v>
      </c>
      <c r="H117" s="54" t="s">
        <v>1083</v>
      </c>
    </row>
    <row r="118" spans="1:8" ht="13">
      <c r="A118" s="54" t="s">
        <v>2053</v>
      </c>
      <c r="B118" s="54" t="s">
        <v>2155</v>
      </c>
      <c r="C118" s="54">
        <v>7</v>
      </c>
      <c r="D118" s="54" t="s">
        <v>2177</v>
      </c>
      <c r="E118" s="54" t="str">
        <f t="shared" si="0"/>
        <v>Data representations::7::Explain how bitmaps are used to represent images</v>
      </c>
      <c r="F118" s="54" t="s">
        <v>1941</v>
      </c>
      <c r="G118" s="54" t="s">
        <v>12</v>
      </c>
      <c r="H118" s="54" t="s">
        <v>1083</v>
      </c>
    </row>
    <row r="119" spans="1:8" ht="13">
      <c r="A119" s="54" t="s">
        <v>2053</v>
      </c>
      <c r="B119" s="54" t="s">
        <v>2155</v>
      </c>
      <c r="C119" s="54">
        <v>7</v>
      </c>
      <c r="D119" s="54" t="s">
        <v>2178</v>
      </c>
      <c r="E119" s="54" t="str">
        <f t="shared" si="0"/>
        <v>Data representations::7::Convert between binary data and black and white bitmaps</v>
      </c>
      <c r="F119" s="54" t="s">
        <v>1941</v>
      </c>
      <c r="G119" s="54" t="s">
        <v>12</v>
      </c>
      <c r="H119" s="54" t="s">
        <v>1083</v>
      </c>
    </row>
    <row r="120" spans="1:8" ht="13">
      <c r="A120" s="54" t="s">
        <v>2053</v>
      </c>
      <c r="B120" s="54" t="s">
        <v>2155</v>
      </c>
      <c r="C120" s="54">
        <v>7</v>
      </c>
      <c r="D120" s="54" t="s">
        <v>2179</v>
      </c>
      <c r="E120" s="54" t="str">
        <f t="shared" si="0"/>
        <v>Data representations::7::Explain the relationship between resolution, colour depth, and file size for images</v>
      </c>
      <c r="F120" s="54" t="s">
        <v>1941</v>
      </c>
      <c r="G120" s="54" t="s">
        <v>12</v>
      </c>
      <c r="H120" s="54" t="s">
        <v>1083</v>
      </c>
    </row>
    <row r="121" spans="1:8" ht="13">
      <c r="A121" s="54" t="s">
        <v>2053</v>
      </c>
      <c r="B121" s="54" t="s">
        <v>2155</v>
      </c>
      <c r="C121" s="54">
        <v>7</v>
      </c>
      <c r="D121" s="54" t="s">
        <v>2180</v>
      </c>
      <c r="E121" s="54" t="str">
        <f t="shared" si="0"/>
        <v>Data representations::7::Describe colour depth and resolution, and how they impact on image quality</v>
      </c>
      <c r="F121" s="54" t="s">
        <v>1941</v>
      </c>
      <c r="G121" s="54" t="s">
        <v>12</v>
      </c>
      <c r="H121" s="54" t="s">
        <v>1083</v>
      </c>
    </row>
    <row r="122" spans="1:8" ht="13">
      <c r="A122" s="54" t="s">
        <v>2053</v>
      </c>
      <c r="B122" s="54" t="s">
        <v>2155</v>
      </c>
      <c r="C122" s="54">
        <v>8</v>
      </c>
      <c r="D122" s="54" t="s">
        <v>2181</v>
      </c>
      <c r="E122" s="54" t="str">
        <f t="shared" si="0"/>
        <v>Data representations::8::Define the terms ‘bit’, ‘nibble’, ‘byte’, ‘megabyte’, ‘gigabyte’, ‘terabyte’, and ‘petabyte’</v>
      </c>
      <c r="F122" s="54" t="s">
        <v>1941</v>
      </c>
      <c r="G122" s="54" t="s">
        <v>12</v>
      </c>
      <c r="H122" s="54" t="s">
        <v>1083</v>
      </c>
    </row>
    <row r="123" spans="1:8" ht="13">
      <c r="A123" s="54" t="s">
        <v>2053</v>
      </c>
      <c r="B123" s="54" t="s">
        <v>2155</v>
      </c>
      <c r="C123" s="54">
        <v>8</v>
      </c>
      <c r="D123" s="54" t="s">
        <v>2182</v>
      </c>
      <c r="E123" s="54" t="str">
        <f t="shared" si="0"/>
        <v>Data representations::8::Be able to convert between units of measurement</v>
      </c>
      <c r="F123" s="54" t="s">
        <v>1941</v>
      </c>
      <c r="G123" s="54" t="s">
        <v>12</v>
      </c>
      <c r="H123" s="54" t="s">
        <v>1083</v>
      </c>
    </row>
    <row r="124" spans="1:8" ht="13">
      <c r="A124" s="54" t="s">
        <v>2053</v>
      </c>
      <c r="B124" s="54" t="s">
        <v>2155</v>
      </c>
      <c r="C124" s="54">
        <v>8</v>
      </c>
      <c r="D124" s="54" t="s">
        <v>2183</v>
      </c>
      <c r="E124" s="54" t="str">
        <f t="shared" si="0"/>
        <v>Data representations::8::Explain the difference between raster and vector graphics</v>
      </c>
      <c r="F124" s="54" t="s">
        <v>1941</v>
      </c>
      <c r="G124" s="54" t="s">
        <v>12</v>
      </c>
      <c r="H124" s="54" t="s">
        <v>1083</v>
      </c>
    </row>
    <row r="125" spans="1:8" ht="13">
      <c r="A125" s="54" t="s">
        <v>2053</v>
      </c>
      <c r="B125" s="54" t="s">
        <v>2155</v>
      </c>
      <c r="C125" s="54">
        <v>8</v>
      </c>
      <c r="D125" s="54" t="s">
        <v>2184</v>
      </c>
      <c r="E125" s="54" t="str">
        <f t="shared" si="0"/>
        <v>Data representations::8::Describe the use of metadata in image files</v>
      </c>
      <c r="F125" s="54" t="s">
        <v>1941</v>
      </c>
      <c r="G125" s="54" t="s">
        <v>12</v>
      </c>
      <c r="H125" s="54" t="s">
        <v>1083</v>
      </c>
    </row>
    <row r="126" spans="1:8" ht="13">
      <c r="A126" s="54" t="s">
        <v>2053</v>
      </c>
      <c r="B126" s="54" t="s">
        <v>2155</v>
      </c>
      <c r="C126" s="54">
        <v>9</v>
      </c>
      <c r="D126" s="54" t="s">
        <v>2185</v>
      </c>
      <c r="E126" s="54" t="str">
        <f t="shared" si="0"/>
        <v>Data representations::9::Explain why analogue sound data needs to be converted to discrete values</v>
      </c>
      <c r="F126" s="54" t="s">
        <v>1941</v>
      </c>
      <c r="G126" s="54" t="s">
        <v>12</v>
      </c>
      <c r="H126" s="54" t="s">
        <v>1083</v>
      </c>
    </row>
    <row r="127" spans="1:8" ht="13">
      <c r="A127" s="54" t="s">
        <v>2053</v>
      </c>
      <c r="B127" s="54" t="s">
        <v>2155</v>
      </c>
      <c r="C127" s="54">
        <v>9</v>
      </c>
      <c r="D127" s="54" t="s">
        <v>2186</v>
      </c>
      <c r="E127" s="54" t="str">
        <f t="shared" si="0"/>
        <v>Data representations::9::Describe the concepts of sampling, sample rate, and sample resolution</v>
      </c>
      <c r="F127" s="54" t="s">
        <v>1941</v>
      </c>
      <c r="G127" s="54" t="s">
        <v>12</v>
      </c>
      <c r="H127" s="54" t="s">
        <v>1083</v>
      </c>
    </row>
    <row r="128" spans="1:8" ht="13">
      <c r="A128" s="54" t="s">
        <v>2053</v>
      </c>
      <c r="B128" s="54" t="s">
        <v>2155</v>
      </c>
      <c r="C128" s="54">
        <v>9</v>
      </c>
      <c r="D128" s="54" t="s">
        <v>2187</v>
      </c>
      <c r="E128" s="54" t="str">
        <f t="shared" si="0"/>
        <v>Data representations::9::Describe the use of metadata in sound files</v>
      </c>
      <c r="F128" s="54" t="s">
        <v>1941</v>
      </c>
      <c r="G128" s="54" t="s">
        <v>12</v>
      </c>
      <c r="H128" s="54" t="s">
        <v>1083</v>
      </c>
    </row>
    <row r="129" spans="1:8" ht="13">
      <c r="A129" s="54" t="s">
        <v>2053</v>
      </c>
      <c r="B129" s="54" t="s">
        <v>2155</v>
      </c>
      <c r="C129" s="54">
        <v>9</v>
      </c>
      <c r="D129" s="54" t="s">
        <v>2188</v>
      </c>
      <c r="E129" s="54" t="str">
        <f t="shared" si="0"/>
        <v>Data representations::9::Calculate file size requirements for sound files</v>
      </c>
      <c r="F129" s="54" t="s">
        <v>1941</v>
      </c>
      <c r="G129" s="54" t="s">
        <v>12</v>
      </c>
      <c r="H129" s="54" t="s">
        <v>1083</v>
      </c>
    </row>
    <row r="130" spans="1:8" ht="13">
      <c r="A130" s="54" t="s">
        <v>2053</v>
      </c>
      <c r="B130" s="54" t="s">
        <v>2155</v>
      </c>
      <c r="C130" s="54">
        <v>10</v>
      </c>
      <c r="D130" s="54" t="s">
        <v>2185</v>
      </c>
      <c r="E130" s="54" t="str">
        <f t="shared" si="0"/>
        <v>Data representations::10::Explain why analogue sound data needs to be converted to discrete values</v>
      </c>
      <c r="F130" s="54" t="s">
        <v>1941</v>
      </c>
      <c r="G130" s="54" t="s">
        <v>12</v>
      </c>
      <c r="H130" s="54" t="s">
        <v>1083</v>
      </c>
    </row>
    <row r="131" spans="1:8" ht="13">
      <c r="A131" s="54" t="s">
        <v>2053</v>
      </c>
      <c r="B131" s="54" t="s">
        <v>2155</v>
      </c>
      <c r="C131" s="54">
        <v>10</v>
      </c>
      <c r="D131" s="54" t="s">
        <v>2186</v>
      </c>
      <c r="E131" s="54" t="str">
        <f t="shared" si="0"/>
        <v>Data representations::10::Describe the concepts of sampling, sample rate, and sample resolution</v>
      </c>
      <c r="F131" s="54" t="s">
        <v>1941</v>
      </c>
      <c r="G131" s="54" t="s">
        <v>12</v>
      </c>
      <c r="H131" s="54" t="s">
        <v>1083</v>
      </c>
    </row>
    <row r="132" spans="1:8" ht="13">
      <c r="A132" s="54" t="s">
        <v>2053</v>
      </c>
      <c r="B132" s="54" t="s">
        <v>2155</v>
      </c>
      <c r="C132" s="54">
        <v>10</v>
      </c>
      <c r="D132" s="54" t="s">
        <v>2187</v>
      </c>
      <c r="E132" s="54" t="str">
        <f t="shared" si="0"/>
        <v>Data representations::10::Describe the use of metadata in sound files</v>
      </c>
      <c r="F132" s="54" t="s">
        <v>1941</v>
      </c>
      <c r="G132" s="54" t="s">
        <v>12</v>
      </c>
      <c r="H132" s="54" t="s">
        <v>1083</v>
      </c>
    </row>
    <row r="133" spans="1:8" ht="13">
      <c r="A133" s="54" t="s">
        <v>2053</v>
      </c>
      <c r="B133" s="54" t="s">
        <v>2155</v>
      </c>
      <c r="C133" s="54">
        <v>10</v>
      </c>
      <c r="D133" s="54" t="s">
        <v>2188</v>
      </c>
      <c r="E133" s="54" t="str">
        <f t="shared" si="0"/>
        <v>Data representations::10::Calculate file size requirements for sound files</v>
      </c>
      <c r="F133" s="54" t="s">
        <v>1941</v>
      </c>
      <c r="G133" s="54" t="s">
        <v>12</v>
      </c>
      <c r="H133" s="54" t="s">
        <v>1083</v>
      </c>
    </row>
    <row r="134" spans="1:8" ht="13">
      <c r="A134" s="54" t="s">
        <v>2053</v>
      </c>
      <c r="B134" s="54" t="s">
        <v>122</v>
      </c>
      <c r="C134" s="54">
        <v>1</v>
      </c>
      <c r="D134" s="54" t="s">
        <v>2189</v>
      </c>
      <c r="E134" s="54" t="str">
        <f t="shared" si="0"/>
        <v>HTML::1::Create a simple web page using basic tags</v>
      </c>
      <c r="F134" s="54" t="s">
        <v>1941</v>
      </c>
      <c r="G134" s="54" t="s">
        <v>2190</v>
      </c>
      <c r="H134" s="54" t="s">
        <v>1083</v>
      </c>
    </row>
    <row r="135" spans="1:8" ht="13">
      <c r="A135" s="54" t="s">
        <v>2053</v>
      </c>
      <c r="B135" s="54" t="s">
        <v>122</v>
      </c>
      <c r="C135" s="54">
        <v>1</v>
      </c>
      <c r="D135" s="54" t="s">
        <v>2191</v>
      </c>
      <c r="E135" s="54" t="str">
        <f t="shared" si="0"/>
        <v>HTML::1::Describe the purpose of HTML and tags when designing a website</v>
      </c>
      <c r="F135" s="54" t="s">
        <v>1941</v>
      </c>
      <c r="G135" s="54" t="s">
        <v>1539</v>
      </c>
      <c r="H135" s="54" t="s">
        <v>1083</v>
      </c>
    </row>
    <row r="136" spans="1:8" ht="13">
      <c r="A136" s="54" t="s">
        <v>2053</v>
      </c>
      <c r="B136" s="54" t="s">
        <v>122</v>
      </c>
      <c r="C136" s="54">
        <v>2</v>
      </c>
      <c r="D136" s="54" t="s">
        <v>2192</v>
      </c>
      <c r="E136" s="54" t="str">
        <f t="shared" si="0"/>
        <v>HTML::2::Describe what is meant by the term ‘accessibility’</v>
      </c>
      <c r="F136" s="54" t="s">
        <v>1941</v>
      </c>
      <c r="G136" s="54" t="s">
        <v>2193</v>
      </c>
      <c r="H136" s="54" t="s">
        <v>1083</v>
      </c>
    </row>
    <row r="137" spans="1:8" ht="13">
      <c r="A137" s="54" t="s">
        <v>2053</v>
      </c>
      <c r="B137" s="54" t="s">
        <v>122</v>
      </c>
      <c r="C137" s="54">
        <v>2</v>
      </c>
      <c r="D137" s="54" t="s">
        <v>2194</v>
      </c>
      <c r="E137" s="54" t="str">
        <f t="shared" si="0"/>
        <v>HTML::2::Extend a HTML page to include images &lt;img&gt; and hyperlinks &lt;a href&gt;</v>
      </c>
      <c r="F137" s="54" t="s">
        <v>1941</v>
      </c>
      <c r="G137" s="54" t="s">
        <v>1720</v>
      </c>
      <c r="H137" s="54" t="s">
        <v>1083</v>
      </c>
    </row>
    <row r="138" spans="1:8" ht="13">
      <c r="A138" s="54" t="s">
        <v>2053</v>
      </c>
      <c r="B138" s="54" t="s">
        <v>122</v>
      </c>
      <c r="C138" s="54">
        <v>3</v>
      </c>
      <c r="D138" s="54" t="s">
        <v>2195</v>
      </c>
      <c r="E138" s="54" t="str">
        <f t="shared" si="0"/>
        <v>HTML::3::Identify the common features of existing websites and the basics of what makes good web design</v>
      </c>
      <c r="F138" s="54" t="s">
        <v>1941</v>
      </c>
      <c r="G138" s="54" t="s">
        <v>2196</v>
      </c>
      <c r="H138" s="54" t="s">
        <v>1083</v>
      </c>
    </row>
    <row r="139" spans="1:8" ht="13">
      <c r="A139" s="54" t="s">
        <v>2053</v>
      </c>
      <c r="B139" s="54" t="s">
        <v>122</v>
      </c>
      <c r="C139" s="54">
        <v>3</v>
      </c>
      <c r="D139" s="54" t="s">
        <v>2197</v>
      </c>
      <c r="E139" s="54" t="str">
        <f t="shared" si="0"/>
        <v>HTML::3::Design and create pages for a mini website</v>
      </c>
      <c r="F139" s="54" t="s">
        <v>1941</v>
      </c>
      <c r="G139" s="54" t="s">
        <v>2198</v>
      </c>
      <c r="H139" s="54" t="s">
        <v>1083</v>
      </c>
    </row>
    <row r="140" spans="1:8" ht="13">
      <c r="A140" s="54" t="s">
        <v>2053</v>
      </c>
      <c r="B140" s="54" t="s">
        <v>122</v>
      </c>
      <c r="C140" s="54">
        <v>3</v>
      </c>
      <c r="D140" s="54" t="s">
        <v>2199</v>
      </c>
      <c r="E140" s="54" t="str">
        <f t="shared" si="0"/>
        <v>HTML::3::Create hyperlinks between pages stored locally within a folder</v>
      </c>
      <c r="F140" s="54" t="s">
        <v>1941</v>
      </c>
      <c r="G140" s="54" t="s">
        <v>2198</v>
      </c>
      <c r="H140" s="54" t="s">
        <v>1083</v>
      </c>
    </row>
    <row r="141" spans="1:8" ht="13">
      <c r="A141" s="54" t="s">
        <v>2053</v>
      </c>
      <c r="B141" s="54" t="s">
        <v>122</v>
      </c>
      <c r="C141" s="54">
        <v>3</v>
      </c>
      <c r="D141" s="54" t="s">
        <v>2200</v>
      </c>
      <c r="E141" s="54" t="str">
        <f t="shared" si="0"/>
        <v>HTML::3::Insert images stored locally within a folder</v>
      </c>
      <c r="F141" s="54" t="s">
        <v>1941</v>
      </c>
      <c r="G141" s="54" t="s">
        <v>2198</v>
      </c>
      <c r="H141" s="54" t="s">
        <v>1083</v>
      </c>
    </row>
    <row r="142" spans="1:8" ht="13">
      <c r="A142" s="54" t="s">
        <v>2053</v>
      </c>
      <c r="B142" s="54" t="s">
        <v>122</v>
      </c>
      <c r="C142" s="54">
        <v>4</v>
      </c>
      <c r="D142" s="54" t="s">
        <v>2201</v>
      </c>
      <c r="E142" s="54" t="str">
        <f t="shared" si="0"/>
        <v>HTML::4::Experiment with CSS by changing the style of the tags learnt so far in this unit</v>
      </c>
      <c r="F142" s="54" t="s">
        <v>1941</v>
      </c>
      <c r="G142" s="54" t="s">
        <v>2198</v>
      </c>
      <c r="H142" s="54" t="s">
        <v>1083</v>
      </c>
    </row>
    <row r="143" spans="1:8" ht="13">
      <c r="A143" s="54" t="s">
        <v>2053</v>
      </c>
      <c r="B143" s="54" t="s">
        <v>122</v>
      </c>
      <c r="C143" s="54">
        <v>4</v>
      </c>
      <c r="D143" s="54" t="s">
        <v>2202</v>
      </c>
      <c r="E143" s="54" t="str">
        <f t="shared" si="0"/>
        <v>HTML::4::Describe the purpose of CSS and why it is needed in addition to HTML</v>
      </c>
      <c r="F143" s="54" t="s">
        <v>1941</v>
      </c>
      <c r="G143" s="54" t="s">
        <v>2198</v>
      </c>
      <c r="H143" s="54" t="s">
        <v>1083</v>
      </c>
    </row>
    <row r="144" spans="1:8" ht="13">
      <c r="A144" s="54" t="s">
        <v>2053</v>
      </c>
      <c r="B144" s="54" t="s">
        <v>122</v>
      </c>
      <c r="C144" s="54">
        <v>5</v>
      </c>
      <c r="D144" s="54" t="s">
        <v>2203</v>
      </c>
      <c r="E144" s="54" t="str">
        <f t="shared" si="0"/>
        <v>HTML::5::Apply knowledge of CSS to DIVs within web pages using classes</v>
      </c>
      <c r="F144" s="54" t="s">
        <v>1941</v>
      </c>
      <c r="G144" s="54" t="s">
        <v>2196</v>
      </c>
      <c r="H144" s="54" t="s">
        <v>1083</v>
      </c>
    </row>
    <row r="145" spans="1:8" ht="13">
      <c r="A145" s="54" t="s">
        <v>2053</v>
      </c>
      <c r="B145" s="54" t="s">
        <v>122</v>
      </c>
      <c r="C145" s="54">
        <v>5</v>
      </c>
      <c r="D145" s="54" t="s">
        <v>2204</v>
      </c>
      <c r="E145" s="54" t="str">
        <f t="shared" si="0"/>
        <v>HTML::5::Describe the purpose of DIV tags</v>
      </c>
      <c r="F145" s="54" t="s">
        <v>1941</v>
      </c>
      <c r="G145" s="54" t="s">
        <v>2196</v>
      </c>
      <c r="H145" s="54" t="s">
        <v>1083</v>
      </c>
    </row>
    <row r="146" spans="1:8" ht="13">
      <c r="A146" s="54" t="s">
        <v>2053</v>
      </c>
      <c r="B146" s="54" t="s">
        <v>122</v>
      </c>
      <c r="C146" s="54">
        <v>6</v>
      </c>
      <c r="D146" s="54" t="s">
        <v>2205</v>
      </c>
      <c r="E146" s="54" t="str">
        <f t="shared" si="0"/>
        <v>HTML::6::Apply skills to position items within a page</v>
      </c>
      <c r="F146" s="54" t="s">
        <v>1941</v>
      </c>
      <c r="G146" s="54" t="s">
        <v>2198</v>
      </c>
      <c r="H146" s="54" t="s">
        <v>1083</v>
      </c>
    </row>
    <row r="147" spans="1:8" ht="13">
      <c r="A147" s="54" t="s">
        <v>2053</v>
      </c>
      <c r="B147" s="54" t="s">
        <v>122</v>
      </c>
      <c r="C147" s="54">
        <v>6</v>
      </c>
      <c r="D147" s="54" t="s">
        <v>2206</v>
      </c>
      <c r="E147" s="54" t="str">
        <f t="shared" si="0"/>
        <v>HTML::6::Explain how to plan a website by developing house style and sketched wireframe</v>
      </c>
      <c r="F147" s="54" t="s">
        <v>1941</v>
      </c>
      <c r="G147" s="54" t="s">
        <v>1539</v>
      </c>
      <c r="H147" s="54" t="s">
        <v>1083</v>
      </c>
    </row>
    <row r="148" spans="1:8" ht="13">
      <c r="A148" s="54" t="s">
        <v>2053</v>
      </c>
      <c r="B148" s="54" t="s">
        <v>122</v>
      </c>
      <c r="C148" s="54">
        <v>6</v>
      </c>
      <c r="D148" s="54" t="s">
        <v>2207</v>
      </c>
      <c r="E148" s="54" t="str">
        <f t="shared" si="0"/>
        <v>HTML::6::Describe the box model in CSS</v>
      </c>
      <c r="F148" s="54" t="s">
        <v>1941</v>
      </c>
      <c r="G148" s="54" t="s">
        <v>1539</v>
      </c>
      <c r="H148" s="54" t="s">
        <v>1083</v>
      </c>
    </row>
    <row r="149" spans="1:8" ht="13">
      <c r="A149" s="54" t="s">
        <v>2053</v>
      </c>
      <c r="B149" s="54" t="s">
        <v>122</v>
      </c>
      <c r="C149" s="54">
        <v>7</v>
      </c>
      <c r="D149" s="54" t="s">
        <v>2208</v>
      </c>
      <c r="E149" s="54" t="str">
        <f t="shared" si="0"/>
        <v>HTML::7::Self/peer evaluate the webpage produced using a rubric</v>
      </c>
      <c r="F149" s="54" t="s">
        <v>1941</v>
      </c>
      <c r="G149" s="54" t="s">
        <v>15</v>
      </c>
      <c r="H149" s="54" t="s">
        <v>1083</v>
      </c>
    </row>
    <row r="150" spans="1:8" ht="13">
      <c r="A150" s="54" t="s">
        <v>2053</v>
      </c>
      <c r="B150" s="54" t="s">
        <v>122</v>
      </c>
      <c r="C150" s="54">
        <v>7</v>
      </c>
      <c r="D150" s="54" t="s">
        <v>2209</v>
      </c>
      <c r="E150" s="54" t="str">
        <f t="shared" si="0"/>
        <v>HTML::7::Construct a three-page website to showcase the skills learned throughout this unit of study</v>
      </c>
      <c r="F150" s="54" t="s">
        <v>1941</v>
      </c>
      <c r="G150" s="54" t="s">
        <v>2198</v>
      </c>
      <c r="H150" s="54" t="s">
        <v>1083</v>
      </c>
    </row>
    <row r="151" spans="1:8" ht="13">
      <c r="A151" s="54" t="s">
        <v>2053</v>
      </c>
      <c r="B151" s="54" t="s">
        <v>122</v>
      </c>
      <c r="C151" s="54">
        <v>8</v>
      </c>
      <c r="D151" s="54" t="s">
        <v>2210</v>
      </c>
      <c r="E151" s="54" t="str">
        <f t="shared" si="0"/>
        <v>HTML::8::Extend/finish the assessed website</v>
      </c>
      <c r="F151" s="54" t="s">
        <v>1941</v>
      </c>
      <c r="G151" s="54" t="s">
        <v>2198</v>
      </c>
      <c r="H151" s="54" t="s">
        <v>1083</v>
      </c>
    </row>
    <row r="152" spans="1:8" ht="13">
      <c r="A152" s="54" t="s">
        <v>2053</v>
      </c>
      <c r="B152" s="54" t="s">
        <v>122</v>
      </c>
      <c r="C152" s="54">
        <v>8</v>
      </c>
      <c r="D152" s="54" t="s">
        <v>2211</v>
      </c>
      <c r="E152" s="54" t="str">
        <f t="shared" si="0"/>
        <v>HTML::8::Showcase the assessed website</v>
      </c>
      <c r="F152" s="54" t="s">
        <v>1941</v>
      </c>
      <c r="G152" s="54" t="s">
        <v>15</v>
      </c>
      <c r="H152" s="54" t="s">
        <v>1083</v>
      </c>
    </row>
    <row r="153" spans="1:8" ht="13">
      <c r="A153" s="54" t="s">
        <v>2053</v>
      </c>
      <c r="B153" s="54" t="s">
        <v>122</v>
      </c>
      <c r="C153" s="54">
        <v>8</v>
      </c>
      <c r="D153" s="54" t="s">
        <v>2212</v>
      </c>
      <c r="E153" s="54" t="str">
        <f t="shared" si="0"/>
        <v>HTML::8::Demonstrate how much has been learnt by taking an end of unit test</v>
      </c>
      <c r="F153" s="54" t="s">
        <v>1941</v>
      </c>
      <c r="G153" s="54" t="s">
        <v>2198</v>
      </c>
      <c r="H153" s="54" t="s">
        <v>1083</v>
      </c>
    </row>
    <row r="154" spans="1:8" ht="13">
      <c r="A154" s="54" t="s">
        <v>2053</v>
      </c>
      <c r="B154" s="54" t="s">
        <v>112</v>
      </c>
      <c r="C154" s="54">
        <v>1</v>
      </c>
      <c r="D154" s="54" t="s">
        <v>2213</v>
      </c>
      <c r="E154" s="54" t="str">
        <f t="shared" si="0"/>
        <v>Impacts of technology::1::Apply the terms ‘privacy’, ‘legal’, ‘ethical’, ‘environmental’, and ‘cultural’</v>
      </c>
      <c r="F154" s="54">
        <v>4.0999999999999996</v>
      </c>
      <c r="G154" s="54" t="s">
        <v>21</v>
      </c>
      <c r="H154" s="54" t="s">
        <v>86</v>
      </c>
    </row>
    <row r="155" spans="1:8" ht="13">
      <c r="A155" s="54" t="s">
        <v>2053</v>
      </c>
      <c r="B155" s="54" t="s">
        <v>112</v>
      </c>
      <c r="C155" s="54">
        <v>1</v>
      </c>
      <c r="D155" s="54" t="s">
        <v>2214</v>
      </c>
      <c r="E155" s="54" t="str">
        <f t="shared" si="0"/>
        <v>Impacts of technology::1::Explain data legislation, including an organisation’s obligation to protect and supply data</v>
      </c>
      <c r="F155" s="54">
        <v>4.0999999999999996</v>
      </c>
      <c r="G155" s="54" t="s">
        <v>1834</v>
      </c>
      <c r="H155" s="54" t="s">
        <v>86</v>
      </c>
    </row>
    <row r="156" spans="1:8" ht="13">
      <c r="A156" s="54" t="s">
        <v>2053</v>
      </c>
      <c r="B156" s="54" t="s">
        <v>112</v>
      </c>
      <c r="C156" s="54">
        <v>2</v>
      </c>
      <c r="D156" s="54" t="s">
        <v>2215</v>
      </c>
      <c r="E156" s="54" t="str">
        <f t="shared" si="0"/>
        <v>Impacts of technology::2::Explain the term ‘stakeholder’</v>
      </c>
      <c r="F156" s="54">
        <v>4.0999999999999996</v>
      </c>
      <c r="G156" s="54" t="s">
        <v>21</v>
      </c>
      <c r="H156" s="54" t="s">
        <v>86</v>
      </c>
    </row>
    <row r="157" spans="1:8" ht="13">
      <c r="A157" s="54" t="s">
        <v>2053</v>
      </c>
      <c r="B157" s="54" t="s">
        <v>112</v>
      </c>
      <c r="C157" s="54">
        <v>2</v>
      </c>
      <c r="D157" s="54" t="s">
        <v>2216</v>
      </c>
      <c r="E157" s="54" t="str">
        <f t="shared" si="0"/>
        <v>Impacts of technology::2::Explain the right to be forgotten</v>
      </c>
      <c r="F157" s="54">
        <v>4.0999999999999996</v>
      </c>
      <c r="G157" s="54" t="s">
        <v>1834</v>
      </c>
      <c r="H157" s="54" t="s">
        <v>86</v>
      </c>
    </row>
    <row r="158" spans="1:8" ht="13">
      <c r="A158" s="54" t="s">
        <v>2053</v>
      </c>
      <c r="B158" s="54" t="s">
        <v>112</v>
      </c>
      <c r="C158" s="54">
        <v>2</v>
      </c>
      <c r="D158" s="54" t="s">
        <v>2217</v>
      </c>
      <c r="E158" s="54" t="str">
        <f t="shared" si="0"/>
        <v>Impacts of technology::2::Distinguish the differences between legitimate creative uses and clear infringement of material subject to copyright</v>
      </c>
      <c r="F158" s="54">
        <v>4.0999999999999996</v>
      </c>
      <c r="G158" s="54" t="s">
        <v>21</v>
      </c>
      <c r="H158" s="54" t="s">
        <v>86</v>
      </c>
    </row>
    <row r="159" spans="1:8" ht="13">
      <c r="A159" s="54" t="s">
        <v>2053</v>
      </c>
      <c r="B159" s="54" t="s">
        <v>112</v>
      </c>
      <c r="C159" s="54">
        <v>3</v>
      </c>
      <c r="D159" s="54" t="s">
        <v>2218</v>
      </c>
      <c r="E159" s="54" t="str">
        <f t="shared" si="0"/>
        <v>Impacts of technology::3::Explain the Freedom of Information Act</v>
      </c>
      <c r="F159" s="54">
        <v>4.0999999999999996</v>
      </c>
      <c r="G159" s="54" t="s">
        <v>21</v>
      </c>
      <c r="H159" s="54" t="s">
        <v>86</v>
      </c>
    </row>
    <row r="160" spans="1:8" ht="13">
      <c r="A160" s="54" t="s">
        <v>2053</v>
      </c>
      <c r="B160" s="54" t="s">
        <v>112</v>
      </c>
      <c r="C160" s="54">
        <v>3</v>
      </c>
      <c r="D160" s="54" t="s">
        <v>2219</v>
      </c>
      <c r="E160" s="54" t="str">
        <f t="shared" si="0"/>
        <v>Impacts of technology::3::Define ‘computer misuse’ and the associated offences</v>
      </c>
      <c r="F160" s="54">
        <v>4.0999999999999996</v>
      </c>
      <c r="G160" s="54" t="s">
        <v>1066</v>
      </c>
      <c r="H160" s="54" t="s">
        <v>86</v>
      </c>
    </row>
    <row r="161" spans="1:8" ht="13">
      <c r="A161" s="54" t="s">
        <v>2053</v>
      </c>
      <c r="B161" s="54" t="s">
        <v>112</v>
      </c>
      <c r="C161" s="54">
        <v>3</v>
      </c>
      <c r="D161" s="54" t="s">
        <v>2220</v>
      </c>
      <c r="E161" s="54" t="str">
        <f t="shared" si="0"/>
        <v>Impacts of technology::3::Identify situations that would be classified as an offence under the Act</v>
      </c>
      <c r="F161" s="54">
        <v>4.0999999999999996</v>
      </c>
      <c r="G161" s="54" t="s">
        <v>21</v>
      </c>
      <c r="H161" s="54" t="s">
        <v>86</v>
      </c>
    </row>
    <row r="162" spans="1:8" ht="13">
      <c r="A162" s="54" t="s">
        <v>2053</v>
      </c>
      <c r="B162" s="54" t="s">
        <v>112</v>
      </c>
      <c r="C162" s="54">
        <v>4</v>
      </c>
      <c r="D162" s="54" t="s">
        <v>2221</v>
      </c>
      <c r="E162" s="54" t="str">
        <f t="shared" si="0"/>
        <v>Impacts of technology::4::Define ‘downtime’ and explain the associated impact on an organisation</v>
      </c>
      <c r="F162" s="54">
        <v>4.0999999999999996</v>
      </c>
      <c r="G162" s="54" t="s">
        <v>1066</v>
      </c>
      <c r="H162" s="54" t="s">
        <v>86</v>
      </c>
    </row>
    <row r="163" spans="1:8" ht="13">
      <c r="A163" s="54" t="s">
        <v>2053</v>
      </c>
      <c r="B163" s="54" t="s">
        <v>112</v>
      </c>
      <c r="C163" s="54">
        <v>4</v>
      </c>
      <c r="D163" s="54" t="s">
        <v>2222</v>
      </c>
      <c r="E163" s="54" t="str">
        <f t="shared" si="0"/>
        <v>Impacts of technology::4::Explain what is meant by the ‘digital divide’ and measures to mitigate its effect</v>
      </c>
      <c r="F163" s="54">
        <v>4.0999999999999996</v>
      </c>
      <c r="G163" s="54" t="s">
        <v>1160</v>
      </c>
      <c r="H163" s="54" t="s">
        <v>86</v>
      </c>
    </row>
    <row r="164" spans="1:8" ht="13">
      <c r="A164" s="54" t="s">
        <v>2053</v>
      </c>
      <c r="B164" s="54" t="s">
        <v>112</v>
      </c>
      <c r="C164" s="54">
        <v>4</v>
      </c>
      <c r="D164" s="54" t="s">
        <v>2223</v>
      </c>
      <c r="E164" s="54" t="str">
        <f t="shared" si="0"/>
        <v>Impacts of technology::4::Identify positive and negative aspects of the use of mobile technology</v>
      </c>
      <c r="F164" s="54">
        <v>4.0999999999999996</v>
      </c>
      <c r="G164" s="54" t="s">
        <v>1160</v>
      </c>
      <c r="H164" s="54" t="s">
        <v>86</v>
      </c>
    </row>
    <row r="165" spans="1:8" ht="13">
      <c r="A165" s="54" t="s">
        <v>2053</v>
      </c>
      <c r="B165" s="54" t="s">
        <v>112</v>
      </c>
      <c r="C165" s="54">
        <v>5</v>
      </c>
      <c r="D165" s="54" t="s">
        <v>2224</v>
      </c>
      <c r="E165" s="54" t="str">
        <f t="shared" si="0"/>
        <v>Impacts of technology::5::Identify the implications of having personal data online</v>
      </c>
      <c r="F165" s="54">
        <v>4.0999999999999996</v>
      </c>
      <c r="G165" s="54" t="s">
        <v>1432</v>
      </c>
      <c r="H165" s="54" t="s">
        <v>86</v>
      </c>
    </row>
    <row r="166" spans="1:8" ht="13">
      <c r="A166" s="54" t="s">
        <v>2053</v>
      </c>
      <c r="B166" s="54" t="s">
        <v>112</v>
      </c>
      <c r="C166" s="54">
        <v>5</v>
      </c>
      <c r="D166" s="54" t="s">
        <v>2225</v>
      </c>
      <c r="E166" s="54" t="str">
        <f t="shared" si="0"/>
        <v>Impacts of technology::5::Explain the social and environmental impacts of social media</v>
      </c>
      <c r="F166" s="54">
        <v>4.0999999999999996</v>
      </c>
      <c r="G166" s="54" t="s">
        <v>1432</v>
      </c>
      <c r="H166" s="54" t="s">
        <v>86</v>
      </c>
    </row>
    <row r="167" spans="1:8" ht="13">
      <c r="A167" s="54" t="s">
        <v>2053</v>
      </c>
      <c r="B167" s="54" t="s">
        <v>112</v>
      </c>
      <c r="C167" s="54">
        <v>5</v>
      </c>
      <c r="D167" s="54" t="s">
        <v>2226</v>
      </c>
      <c r="E167" s="54" t="str">
        <f t="shared" si="0"/>
        <v>Impacts of technology::5::Explain the positive and negative effects of online content</v>
      </c>
      <c r="F167" s="54">
        <v>4.0999999999999996</v>
      </c>
      <c r="G167" s="54" t="s">
        <v>1432</v>
      </c>
      <c r="H167" s="54" t="s">
        <v>86</v>
      </c>
    </row>
    <row r="168" spans="1:8" ht="13">
      <c r="A168" s="54" t="s">
        <v>2053</v>
      </c>
      <c r="B168" s="54" t="s">
        <v>112</v>
      </c>
      <c r="C168" s="54">
        <v>6</v>
      </c>
      <c r="D168" s="54" t="s">
        <v>2227</v>
      </c>
      <c r="E168" s="54" t="str">
        <f t="shared" si="0"/>
        <v>Impacts of technology::6::Explain the environmental effects of the use of technology</v>
      </c>
      <c r="F168" s="54">
        <v>4.0999999999999996</v>
      </c>
      <c r="G168" s="54" t="s">
        <v>1066</v>
      </c>
      <c r="H168" s="54" t="s">
        <v>86</v>
      </c>
    </row>
    <row r="169" spans="1:8" ht="13">
      <c r="A169" s="54" t="s">
        <v>2053</v>
      </c>
      <c r="B169" s="54" t="s">
        <v>112</v>
      </c>
      <c r="C169" s="54">
        <v>7</v>
      </c>
      <c r="D169" s="54" t="s">
        <v>2228</v>
      </c>
      <c r="E169" s="54" t="str">
        <f t="shared" si="0"/>
        <v>Impacts of technology::7::Explain the ethical issues surrounding the use of AI in society</v>
      </c>
      <c r="F169" s="54">
        <v>4.0999999999999996</v>
      </c>
      <c r="G169" s="54" t="s">
        <v>2229</v>
      </c>
      <c r="H169" s="54" t="s">
        <v>86</v>
      </c>
    </row>
    <row r="170" spans="1:8" ht="13">
      <c r="A170" s="54" t="s">
        <v>2053</v>
      </c>
      <c r="B170" s="54" t="s">
        <v>112</v>
      </c>
      <c r="C170" s="54">
        <v>7</v>
      </c>
      <c r="D170" s="54" t="s">
        <v>2230</v>
      </c>
      <c r="E170" s="54" t="str">
        <f t="shared" si="0"/>
        <v>Impacts of technology::7::Explain the ethical impact of using algorithms to make decisions</v>
      </c>
      <c r="F170" s="54">
        <v>4.0999999999999996</v>
      </c>
      <c r="G170" s="54" t="s">
        <v>1128</v>
      </c>
      <c r="H170" s="54" t="s">
        <v>86</v>
      </c>
    </row>
    <row r="171" spans="1:8" ht="13">
      <c r="A171" s="54" t="s">
        <v>2053</v>
      </c>
      <c r="B171" s="54" t="s">
        <v>112</v>
      </c>
      <c r="C171" s="54">
        <v>8</v>
      </c>
      <c r="D171" s="54" t="s">
        <v>2231</v>
      </c>
      <c r="E171" s="54" t="str">
        <f t="shared" si="0"/>
        <v>Impacts of technology::8::Demonstrate knowledge of the five impacts of technology</v>
      </c>
      <c r="F171" s="54">
        <v>4.0999999999999996</v>
      </c>
      <c r="G171" s="54" t="s">
        <v>21</v>
      </c>
      <c r="H171" s="54" t="s">
        <v>86</v>
      </c>
    </row>
    <row r="172" spans="1:8" ht="13">
      <c r="A172" s="54" t="s">
        <v>2053</v>
      </c>
      <c r="B172" s="54" t="s">
        <v>7</v>
      </c>
      <c r="C172" s="54">
        <v>1</v>
      </c>
      <c r="D172" s="54" t="s">
        <v>2232</v>
      </c>
      <c r="E172" s="54" t="str">
        <f t="shared" si="0"/>
        <v>Networks::1::Define what networks are</v>
      </c>
      <c r="F172" s="54">
        <v>4.0999999999999996</v>
      </c>
      <c r="G172" s="54" t="s">
        <v>1252</v>
      </c>
      <c r="H172" s="54" t="s">
        <v>1083</v>
      </c>
    </row>
    <row r="173" spans="1:8" ht="13">
      <c r="A173" s="54" t="s">
        <v>2053</v>
      </c>
      <c r="B173" s="54" t="s">
        <v>7</v>
      </c>
      <c r="C173" s="54">
        <v>1</v>
      </c>
      <c r="D173" s="54" t="s">
        <v>2233</v>
      </c>
      <c r="E173" s="54" t="str">
        <f t="shared" si="0"/>
        <v>Networks::1::Describe the hardware components required to build networks of devices</v>
      </c>
      <c r="F173" s="54">
        <v>4.0999999999999996</v>
      </c>
      <c r="G173" s="54" t="s">
        <v>1252</v>
      </c>
      <c r="H173" s="54" t="s">
        <v>1083</v>
      </c>
    </row>
    <row r="174" spans="1:8" ht="13">
      <c r="A174" s="54" t="s">
        <v>2053</v>
      </c>
      <c r="B174" s="54" t="s">
        <v>7</v>
      </c>
      <c r="C174" s="54">
        <v>1</v>
      </c>
      <c r="D174" s="54" t="s">
        <v>2234</v>
      </c>
      <c r="E174" s="54" t="str">
        <f t="shared" si="0"/>
        <v>Networks::1::Analyse the benefits and problems associated with networks</v>
      </c>
      <c r="F174" s="54">
        <v>4.0999999999999996</v>
      </c>
      <c r="G174" s="54" t="s">
        <v>6</v>
      </c>
      <c r="H174" s="54" t="s">
        <v>1083</v>
      </c>
    </row>
    <row r="175" spans="1:8" ht="13">
      <c r="A175" s="54" t="s">
        <v>2053</v>
      </c>
      <c r="B175" s="54" t="s">
        <v>7</v>
      </c>
      <c r="C175" s="54">
        <v>2</v>
      </c>
      <c r="D175" s="54" t="s">
        <v>2235</v>
      </c>
      <c r="E175" s="54" t="str">
        <f t="shared" si="0"/>
        <v>Networks::2::Explain how devices can be connected to a network either through a wired or wireless connection</v>
      </c>
      <c r="F175" s="54">
        <v>4.0999999999999996</v>
      </c>
      <c r="G175" s="54" t="s">
        <v>1252</v>
      </c>
      <c r="H175" s="54" t="s">
        <v>1083</v>
      </c>
    </row>
    <row r="176" spans="1:8" ht="13">
      <c r="A176" s="54" t="s">
        <v>2053</v>
      </c>
      <c r="B176" s="54" t="s">
        <v>7</v>
      </c>
      <c r="C176" s="54">
        <v>2</v>
      </c>
      <c r="D176" s="54" t="s">
        <v>2236</v>
      </c>
      <c r="E176" s="54" t="str">
        <f t="shared" si="0"/>
        <v>Networks::2::Define MAC addresses and their use in networks</v>
      </c>
      <c r="F176" s="54">
        <v>4.0999999999999996</v>
      </c>
      <c r="G176" s="54" t="s">
        <v>6</v>
      </c>
      <c r="H176" s="54" t="s">
        <v>1083</v>
      </c>
    </row>
    <row r="177" spans="1:8" ht="13">
      <c r="A177" s="54" t="s">
        <v>2053</v>
      </c>
      <c r="B177" s="54" t="s">
        <v>7</v>
      </c>
      <c r="C177" s="54">
        <v>2</v>
      </c>
      <c r="D177" s="54" t="s">
        <v>2237</v>
      </c>
      <c r="E177" s="54" t="str">
        <f t="shared" si="0"/>
        <v>Networks::2::Analyse specific examples including Ethernet and Wi-Fi</v>
      </c>
      <c r="F177" s="54">
        <v>4.0999999999999996</v>
      </c>
      <c r="G177" s="54" t="s">
        <v>6</v>
      </c>
      <c r="H177" s="54" t="s">
        <v>1083</v>
      </c>
    </row>
    <row r="178" spans="1:8" ht="13">
      <c r="A178" s="54" t="s">
        <v>2053</v>
      </c>
      <c r="B178" s="54" t="s">
        <v>7</v>
      </c>
      <c r="C178" s="54">
        <v>2</v>
      </c>
      <c r="D178" s="54" t="s">
        <v>2238</v>
      </c>
      <c r="E178" s="54" t="str">
        <f t="shared" si="0"/>
        <v>Networks::2::Explain the importance of connectivity in modern computing systems</v>
      </c>
      <c r="F178" s="54">
        <v>4.0999999999999996</v>
      </c>
      <c r="G178" s="54" t="s">
        <v>6</v>
      </c>
      <c r="H178" s="54" t="s">
        <v>1083</v>
      </c>
    </row>
    <row r="179" spans="1:8" ht="13">
      <c r="A179" s="54" t="s">
        <v>2053</v>
      </c>
      <c r="B179" s="54" t="s">
        <v>7</v>
      </c>
      <c r="C179" s="54">
        <v>3</v>
      </c>
      <c r="D179" s="54" t="s">
        <v>2239</v>
      </c>
      <c r="E179" s="54" t="str">
        <f t="shared" si="0"/>
        <v>Networks::3::List and describe the different types of networks depending on node distribution, including personal, local, and wide area networks</v>
      </c>
      <c r="F179" s="54">
        <v>4.0999999999999996</v>
      </c>
      <c r="G179" s="54" t="s">
        <v>6</v>
      </c>
      <c r="H179" s="54" t="s">
        <v>1083</v>
      </c>
    </row>
    <row r="180" spans="1:8" ht="13">
      <c r="A180" s="54" t="s">
        <v>2053</v>
      </c>
      <c r="B180" s="54" t="s">
        <v>7</v>
      </c>
      <c r="C180" s="54">
        <v>3</v>
      </c>
      <c r="D180" s="54" t="s">
        <v>2240</v>
      </c>
      <c r="E180" s="54" t="str">
        <f t="shared" si="0"/>
        <v>Networks::3::List, describe, and compare the different types of networks depending on topology, such as ring, star, and bus</v>
      </c>
      <c r="F180" s="54">
        <v>4.0999999999999996</v>
      </c>
      <c r="G180" s="54" t="s">
        <v>6</v>
      </c>
      <c r="H180" s="54" t="s">
        <v>1083</v>
      </c>
    </row>
    <row r="181" spans="1:8" ht="13">
      <c r="A181" s="54" t="s">
        <v>2053</v>
      </c>
      <c r="B181" s="54" t="s">
        <v>7</v>
      </c>
      <c r="C181" s="54">
        <v>4</v>
      </c>
      <c r="D181" s="54" t="s">
        <v>2241</v>
      </c>
      <c r="E181" s="54" t="str">
        <f t="shared" si="0"/>
        <v>Networks::4::List, describe, and compare the different types of communication models encountered in networks, such as server–client and peer-to-peer</v>
      </c>
      <c r="F181" s="54">
        <v>4.0999999999999996</v>
      </c>
      <c r="G181" s="54" t="s">
        <v>6</v>
      </c>
      <c r="H181" s="54" t="s">
        <v>1083</v>
      </c>
    </row>
    <row r="182" spans="1:8" ht="13">
      <c r="A182" s="54" t="s">
        <v>2053</v>
      </c>
      <c r="B182" s="54" t="s">
        <v>7</v>
      </c>
      <c r="C182" s="54">
        <v>5</v>
      </c>
      <c r="D182" s="54" t="s">
        <v>2242</v>
      </c>
      <c r="E182" s="54" t="str">
        <f t="shared" si="0"/>
        <v>Networks::5::Define and describe the internet</v>
      </c>
      <c r="F182" s="54">
        <v>4.0999999999999996</v>
      </c>
      <c r="G182" s="54" t="s">
        <v>6</v>
      </c>
      <c r="H182" s="54" t="s">
        <v>1083</v>
      </c>
    </row>
    <row r="183" spans="1:8" ht="13">
      <c r="A183" s="54" t="s">
        <v>2053</v>
      </c>
      <c r="B183" s="54" t="s">
        <v>7</v>
      </c>
      <c r="C183" s="54">
        <v>5</v>
      </c>
      <c r="D183" s="54" t="s">
        <v>2243</v>
      </c>
      <c r="E183" s="54" t="str">
        <f t="shared" si="0"/>
        <v>Networks::5::Define the WWW and describe its main components</v>
      </c>
      <c r="F183" s="54">
        <v>4.0999999999999996</v>
      </c>
      <c r="G183" s="54" t="s">
        <v>6</v>
      </c>
      <c r="H183" s="54" t="s">
        <v>1083</v>
      </c>
    </row>
    <row r="184" spans="1:8" ht="13">
      <c r="A184" s="54" t="s">
        <v>2053</v>
      </c>
      <c r="B184" s="54" t="s">
        <v>7</v>
      </c>
      <c r="C184" s="54">
        <v>6</v>
      </c>
      <c r="D184" s="54" t="s">
        <v>2244</v>
      </c>
      <c r="E184" s="54" t="str">
        <f t="shared" si="0"/>
        <v>Networks::6::Define and explain the concept of a networking protocol</v>
      </c>
      <c r="F184" s="54">
        <v>4.0999999999999996</v>
      </c>
      <c r="G184" s="54" t="s">
        <v>6</v>
      </c>
      <c r="H184" s="54" t="s">
        <v>1083</v>
      </c>
    </row>
    <row r="185" spans="1:8" ht="13">
      <c r="A185" s="54" t="s">
        <v>2053</v>
      </c>
      <c r="B185" s="54" t="s">
        <v>7</v>
      </c>
      <c r="C185" s="54">
        <v>6</v>
      </c>
      <c r="D185" s="54" t="s">
        <v>2245</v>
      </c>
      <c r="E185" s="54" t="str">
        <f t="shared" si="0"/>
        <v>Networks::6::List and explain standard internet protocols in the application layer, such as HTTP, HTTPS, FTP, DNS, SMTP, POP, and IMAP</v>
      </c>
      <c r="F185" s="54">
        <v>4.0999999999999996</v>
      </c>
      <c r="G185" s="54" t="s">
        <v>6</v>
      </c>
      <c r="H185" s="54" t="s">
        <v>1083</v>
      </c>
    </row>
    <row r="186" spans="1:8" ht="13">
      <c r="A186" s="54" t="s">
        <v>2053</v>
      </c>
      <c r="B186" s="54" t="s">
        <v>7</v>
      </c>
      <c r="C186" s="54">
        <v>7</v>
      </c>
      <c r="D186" s="54" t="s">
        <v>2246</v>
      </c>
      <c r="E186" s="54" t="str">
        <f t="shared" si="0"/>
        <v>Networks::7::Explain and describe the advantages and disadvantages of circuit switching and packet switching</v>
      </c>
      <c r="F186" s="54">
        <v>4.0999999999999996</v>
      </c>
      <c r="G186" s="54" t="s">
        <v>6</v>
      </c>
      <c r="H186" s="54" t="s">
        <v>1083</v>
      </c>
    </row>
    <row r="187" spans="1:8" ht="13">
      <c r="A187" s="54" t="s">
        <v>2053</v>
      </c>
      <c r="B187" s="54" t="s">
        <v>7</v>
      </c>
      <c r="C187" s="54">
        <v>7</v>
      </c>
      <c r="D187" s="54" t="s">
        <v>2247</v>
      </c>
      <c r="E187" s="54" t="str">
        <f t="shared" si="0"/>
        <v>Networks::7::List and explain the four different layers associated with the Internet Protocol: link, network/internet, transport, and application</v>
      </c>
      <c r="F187" s="54">
        <v>4.0999999999999996</v>
      </c>
      <c r="G187" s="54" t="s">
        <v>6</v>
      </c>
      <c r="H187" s="54" t="s">
        <v>1083</v>
      </c>
    </row>
    <row r="188" spans="1:8" ht="13">
      <c r="A188" s="54" t="s">
        <v>2053</v>
      </c>
      <c r="B188" s="54" t="s">
        <v>7</v>
      </c>
      <c r="C188" s="54">
        <v>7</v>
      </c>
      <c r="D188" s="54" t="s">
        <v>2248</v>
      </c>
      <c r="E188" s="54" t="str">
        <f t="shared" si="0"/>
        <v>Networks::7::Explain the Internet Protocol in the internet layer</v>
      </c>
      <c r="F188" s="54">
        <v>4.0999999999999996</v>
      </c>
      <c r="G188" s="54" t="s">
        <v>6</v>
      </c>
      <c r="H188" s="54" t="s">
        <v>1083</v>
      </c>
    </row>
    <row r="189" spans="1:8" ht="13">
      <c r="A189" s="54" t="s">
        <v>2053</v>
      </c>
      <c r="B189" s="54" t="s">
        <v>7</v>
      </c>
      <c r="C189" s="54">
        <v>7</v>
      </c>
      <c r="D189" s="54" t="s">
        <v>2249</v>
      </c>
      <c r="E189" s="54" t="str">
        <f t="shared" si="0"/>
        <v>Networks::7::List and explain standard internet protocols in the transport layer, such as TCP and UDP</v>
      </c>
      <c r="F189" s="54">
        <v>4.0999999999999996</v>
      </c>
      <c r="G189" s="54" t="s">
        <v>6</v>
      </c>
      <c r="H189" s="54" t="s">
        <v>1083</v>
      </c>
    </row>
    <row r="190" spans="1:8" ht="13">
      <c r="A190" s="54" t="s">
        <v>2053</v>
      </c>
      <c r="B190" s="54" t="s">
        <v>7</v>
      </c>
      <c r="C190" s="54">
        <v>8</v>
      </c>
      <c r="D190" s="54" t="s">
        <v>2250</v>
      </c>
      <c r="E190" s="54" t="str">
        <f t="shared" si="0"/>
        <v>Networks::8::Describe how network data speeds are measured, and the factors affecting network performance</v>
      </c>
      <c r="F190" s="54">
        <v>4.0999999999999996</v>
      </c>
      <c r="G190" s="54" t="s">
        <v>6</v>
      </c>
      <c r="H190" s="54" t="s">
        <v>1083</v>
      </c>
    </row>
    <row r="191" spans="1:8" ht="13">
      <c r="A191" s="54" t="s">
        <v>2053</v>
      </c>
      <c r="B191" s="54" t="s">
        <v>7</v>
      </c>
      <c r="C191" s="54">
        <v>8</v>
      </c>
      <c r="D191" s="54" t="s">
        <v>2251</v>
      </c>
      <c r="E191" s="54" t="str">
        <f t="shared" si="0"/>
        <v>Networks::8::Define what virtual networks are, and how they are used to maintain network performance</v>
      </c>
      <c r="F191" s="54">
        <v>4.0999999999999996</v>
      </c>
      <c r="G191" s="54" t="s">
        <v>6</v>
      </c>
      <c r="H191" s="54" t="s">
        <v>1083</v>
      </c>
    </row>
    <row r="192" spans="1:8" ht="13">
      <c r="A192" s="54" t="s">
        <v>2053</v>
      </c>
      <c r="B192" s="54" t="s">
        <v>7</v>
      </c>
      <c r="C192" s="54">
        <v>8</v>
      </c>
      <c r="D192" s="54" t="s">
        <v>2252</v>
      </c>
      <c r="E192" s="54" t="str">
        <f t="shared" si="0"/>
        <v>Networks::8::Explain why networks are a target for criminals, and what some of the tools available to defend against attacks are</v>
      </c>
      <c r="F192" s="54">
        <v>4.0999999999999996</v>
      </c>
      <c r="G192" s="54" t="s">
        <v>1334</v>
      </c>
      <c r="H192" s="54" t="s">
        <v>1083</v>
      </c>
    </row>
    <row r="193" spans="1:8" ht="13">
      <c r="A193" s="54" t="s">
        <v>2053</v>
      </c>
      <c r="B193" s="54" t="s">
        <v>2253</v>
      </c>
      <c r="C193" s="54">
        <v>1</v>
      </c>
      <c r="D193" s="54" t="s">
        <v>2254</v>
      </c>
      <c r="E193" s="54" t="str">
        <f t="shared" si="0"/>
        <v>Physical computing project::1::Define the term physical computing</v>
      </c>
      <c r="G193" s="54" t="s">
        <v>18</v>
      </c>
      <c r="H193" s="54" t="s">
        <v>1083</v>
      </c>
    </row>
    <row r="194" spans="1:8" ht="13">
      <c r="A194" s="54" t="s">
        <v>2053</v>
      </c>
      <c r="B194" s="54" t="s">
        <v>2253</v>
      </c>
      <c r="C194" s="54">
        <v>1</v>
      </c>
      <c r="D194" s="54" t="s">
        <v>2255</v>
      </c>
      <c r="E194" s="54" t="str">
        <f t="shared" si="0"/>
        <v>Physical computing project::1::Explain the term embedded systems</v>
      </c>
      <c r="G194" s="54" t="s">
        <v>18</v>
      </c>
      <c r="H194" s="54" t="s">
        <v>1083</v>
      </c>
    </row>
    <row r="195" spans="1:8" ht="13">
      <c r="A195" s="54" t="s">
        <v>2053</v>
      </c>
      <c r="B195" s="54" t="s">
        <v>2253</v>
      </c>
      <c r="C195" s="54">
        <v>1</v>
      </c>
      <c r="D195" s="54" t="s">
        <v>2256</v>
      </c>
      <c r="E195" s="54" t="str">
        <f t="shared" si="0"/>
        <v>Physical computing project::1::Create and test a working circuit</v>
      </c>
      <c r="G195" s="54" t="s">
        <v>15</v>
      </c>
      <c r="H195" s="54" t="s">
        <v>1083</v>
      </c>
    </row>
    <row r="196" spans="1:8" ht="13">
      <c r="A196" s="54" t="s">
        <v>2053</v>
      </c>
      <c r="B196" s="54" t="s">
        <v>2253</v>
      </c>
      <c r="C196" s="54">
        <v>2</v>
      </c>
      <c r="D196" s="54" t="s">
        <v>2257</v>
      </c>
      <c r="E196" s="54" t="str">
        <f t="shared" si="0"/>
        <v>Physical computing project::2::Explore how to add functionality using a motor controller</v>
      </c>
      <c r="G196" s="54" t="s">
        <v>2258</v>
      </c>
      <c r="H196" s="54" t="s">
        <v>1083</v>
      </c>
    </row>
    <row r="197" spans="1:8" ht="13">
      <c r="A197" s="54" t="s">
        <v>2053</v>
      </c>
      <c r="B197" s="54" t="s">
        <v>2253</v>
      </c>
      <c r="C197" s="54">
        <v>2</v>
      </c>
      <c r="D197" s="54" t="s">
        <v>2259</v>
      </c>
      <c r="E197" s="54" t="str">
        <f t="shared" si="0"/>
        <v>Physical computing project::2::Interact with real-world objects using code and additional hardware</v>
      </c>
      <c r="G197" s="54" t="s">
        <v>2258</v>
      </c>
      <c r="H197" s="54" t="s">
        <v>1083</v>
      </c>
    </row>
    <row r="198" spans="1:8" ht="13">
      <c r="A198" s="54" t="s">
        <v>2053</v>
      </c>
      <c r="B198" s="54" t="s">
        <v>2253</v>
      </c>
      <c r="C198" s="54">
        <v>3</v>
      </c>
      <c r="D198" s="54" t="s">
        <v>2260</v>
      </c>
      <c r="E198" s="54" t="str">
        <f t="shared" si="0"/>
        <v>Physical computing project::3::Use basic materials and tools to create a prototype</v>
      </c>
      <c r="G198" s="54" t="s">
        <v>15</v>
      </c>
      <c r="H198" s="54" t="s">
        <v>1083</v>
      </c>
    </row>
    <row r="199" spans="1:8" ht="13">
      <c r="A199" s="54" t="s">
        <v>2053</v>
      </c>
      <c r="B199" s="54" t="s">
        <v>2253</v>
      </c>
      <c r="C199" s="54">
        <v>4</v>
      </c>
      <c r="D199" s="54" t="s">
        <v>2261</v>
      </c>
      <c r="E199" s="54" t="str">
        <f t="shared" si="0"/>
        <v>Physical computing project::4::Understand how ultrasonic sound waves work</v>
      </c>
      <c r="G199" s="54" t="s">
        <v>2262</v>
      </c>
      <c r="H199" s="54" t="s">
        <v>1083</v>
      </c>
    </row>
    <row r="200" spans="1:8" ht="13">
      <c r="A200" s="54" t="s">
        <v>2053</v>
      </c>
      <c r="B200" s="54" t="s">
        <v>2253</v>
      </c>
      <c r="C200" s="54">
        <v>4</v>
      </c>
      <c r="D200" s="54" t="s">
        <v>2263</v>
      </c>
      <c r="E200" s="54" t="str">
        <f t="shared" si="0"/>
        <v>Physical computing project::4::Combine inputs and outputs to solve a problem</v>
      </c>
      <c r="G200" s="54" t="s">
        <v>2264</v>
      </c>
      <c r="H200" s="54" t="s">
        <v>1083</v>
      </c>
    </row>
    <row r="201" spans="1:8" ht="13">
      <c r="A201" s="54" t="s">
        <v>2053</v>
      </c>
      <c r="B201" s="54" t="s">
        <v>2253</v>
      </c>
      <c r="C201" s="54">
        <v>5</v>
      </c>
      <c r="D201" s="54" t="s">
        <v>2265</v>
      </c>
      <c r="E201" s="54" t="str">
        <f t="shared" si="0"/>
        <v>Physical computing project::5::Understand how reflective optical sensors work</v>
      </c>
      <c r="G201" s="54" t="s">
        <v>2266</v>
      </c>
      <c r="H201" s="54" t="s">
        <v>1083</v>
      </c>
    </row>
    <row r="202" spans="1:8" ht="13">
      <c r="A202" s="54" t="s">
        <v>2053</v>
      </c>
      <c r="B202" s="54" t="s">
        <v>2253</v>
      </c>
      <c r="C202" s="54">
        <v>5</v>
      </c>
      <c r="D202" s="54" t="s">
        <v>2267</v>
      </c>
      <c r="E202" s="54" t="str">
        <f t="shared" si="0"/>
        <v>Physical computing project::5::Process input data to monitor and react to the environment</v>
      </c>
      <c r="G202" s="54" t="s">
        <v>2268</v>
      </c>
      <c r="H202" s="54" t="s">
        <v>1083</v>
      </c>
    </row>
    <row r="203" spans="1:8" ht="13">
      <c r="A203" s="54" t="s">
        <v>2053</v>
      </c>
      <c r="B203" s="54" t="s">
        <v>2253</v>
      </c>
      <c r="C203" s="54">
        <v>6</v>
      </c>
      <c r="D203" s="54" t="s">
        <v>2269</v>
      </c>
      <c r="E203" s="54" t="str">
        <f t="shared" si="0"/>
        <v>Physical computing project::6::Synchronise the behaviour of physical hardware components for a given situation</v>
      </c>
      <c r="G203" s="54" t="s">
        <v>2270</v>
      </c>
      <c r="H203" s="54" t="s">
        <v>1083</v>
      </c>
    </row>
    <row r="204" spans="1:8" ht="13">
      <c r="A204" s="54" t="s">
        <v>2053</v>
      </c>
      <c r="B204" s="54" t="s">
        <v>2271</v>
      </c>
      <c r="C204" s="54">
        <v>1</v>
      </c>
      <c r="D204" s="54" t="s">
        <v>2272</v>
      </c>
      <c r="E204" s="54" t="str">
        <f t="shared" si="0"/>
        <v>Programming part 1 - Sequence::1::Compare how humans and computers interpret instructions</v>
      </c>
      <c r="F204" s="54" t="s">
        <v>1941</v>
      </c>
      <c r="G204" s="54" t="s">
        <v>1873</v>
      </c>
      <c r="H204" s="54" t="s">
        <v>1083</v>
      </c>
    </row>
    <row r="205" spans="1:8" ht="13">
      <c r="A205" s="54" t="s">
        <v>2053</v>
      </c>
      <c r="B205" s="54" t="s">
        <v>2271</v>
      </c>
      <c r="C205" s="54">
        <v>1</v>
      </c>
      <c r="D205" s="54" t="s">
        <v>2273</v>
      </c>
      <c r="E205" s="54" t="str">
        <f t="shared" si="0"/>
        <v>Programming part 1 - Sequence::1::Explain the differences between high- and low-level programming languages</v>
      </c>
      <c r="F205" s="54" t="s">
        <v>1941</v>
      </c>
      <c r="G205" s="54" t="s">
        <v>1483</v>
      </c>
      <c r="H205" s="54" t="s">
        <v>1083</v>
      </c>
    </row>
    <row r="206" spans="1:8" ht="13">
      <c r="A206" s="54" t="s">
        <v>2053</v>
      </c>
      <c r="B206" s="54" t="s">
        <v>2271</v>
      </c>
      <c r="C206" s="54">
        <v>1</v>
      </c>
      <c r="D206" s="54" t="s">
        <v>2274</v>
      </c>
      <c r="E206" s="54" t="str">
        <f t="shared" si="0"/>
        <v>Programming part 1 - Sequence::1::Describe why translators are necessary</v>
      </c>
      <c r="F206" s="54" t="s">
        <v>1941</v>
      </c>
      <c r="G206" s="54" t="s">
        <v>1483</v>
      </c>
      <c r="H206" s="54" t="s">
        <v>1083</v>
      </c>
    </row>
    <row r="207" spans="1:8" ht="13">
      <c r="A207" s="54" t="s">
        <v>2053</v>
      </c>
      <c r="B207" s="54" t="s">
        <v>2271</v>
      </c>
      <c r="C207" s="54">
        <v>1</v>
      </c>
      <c r="D207" s="54" t="s">
        <v>2275</v>
      </c>
      <c r="E207" s="54" t="str">
        <f t="shared" si="0"/>
        <v>Programming part 1 - Sequence::1::List the differences, benefits and drawbacks of using a compiler or an interpreter</v>
      </c>
      <c r="F207" s="54" t="s">
        <v>1941</v>
      </c>
      <c r="G207" s="54" t="s">
        <v>1483</v>
      </c>
      <c r="H207" s="54" t="s">
        <v>1083</v>
      </c>
    </row>
    <row r="208" spans="1:8" ht="13">
      <c r="A208" s="54" t="s">
        <v>2053</v>
      </c>
      <c r="B208" s="54" t="s">
        <v>2271</v>
      </c>
      <c r="C208" s="54">
        <v>2</v>
      </c>
      <c r="D208" s="54" t="s">
        <v>2276</v>
      </c>
      <c r="E208" s="54" t="str">
        <f t="shared" si="0"/>
        <v>Programming part 1 - Sequence::2::Use subroutines in programs</v>
      </c>
      <c r="F208" s="54" t="s">
        <v>1941</v>
      </c>
      <c r="G208" s="54" t="s">
        <v>1221</v>
      </c>
      <c r="H208" s="54" t="s">
        <v>1083</v>
      </c>
    </row>
    <row r="209" spans="1:8" ht="13">
      <c r="A209" s="54" t="s">
        <v>2053</v>
      </c>
      <c r="B209" s="54" t="s">
        <v>2271</v>
      </c>
      <c r="C209" s="54">
        <v>2</v>
      </c>
      <c r="D209" s="54" t="s">
        <v>2277</v>
      </c>
      <c r="E209" s="54" t="str">
        <f t="shared" si="0"/>
        <v>Programming part 1 - Sequence::2::Define a sequence as instructions performed in order, with each executed in turn</v>
      </c>
      <c r="F209" s="54" t="s">
        <v>1941</v>
      </c>
      <c r="G209" s="54" t="s">
        <v>1221</v>
      </c>
      <c r="H209" s="54" t="s">
        <v>1083</v>
      </c>
    </row>
    <row r="210" spans="1:8" ht="13">
      <c r="A210" s="54" t="s">
        <v>2053</v>
      </c>
      <c r="B210" s="54" t="s">
        <v>2271</v>
      </c>
      <c r="C210" s="54">
        <v>2</v>
      </c>
      <c r="D210" s="54" t="s">
        <v>2278</v>
      </c>
      <c r="E210" s="54" t="str">
        <f t="shared" si="0"/>
        <v>Programming part 1 - Sequence::2::Predict the outcome of a sequence and modify it</v>
      </c>
      <c r="F210" s="54" t="s">
        <v>1941</v>
      </c>
      <c r="G210" s="54" t="s">
        <v>1221</v>
      </c>
      <c r="H210" s="54" t="s">
        <v>1083</v>
      </c>
    </row>
    <row r="211" spans="1:8" ht="13">
      <c r="A211" s="54" t="s">
        <v>2053</v>
      </c>
      <c r="B211" s="54" t="s">
        <v>2271</v>
      </c>
      <c r="C211" s="54">
        <v>2</v>
      </c>
      <c r="D211" s="54" t="s">
        <v>2279</v>
      </c>
      <c r="E211" s="54" t="str">
        <f t="shared" si="0"/>
        <v>Programming part 1 - Sequence::2::Interpret error messages and define error types and identify them in programs (logic, syntax)</v>
      </c>
      <c r="F211" s="54" t="s">
        <v>1941</v>
      </c>
      <c r="G211" s="54" t="s">
        <v>1221</v>
      </c>
      <c r="H211" s="54" t="s">
        <v>1083</v>
      </c>
    </row>
    <row r="212" spans="1:8" ht="13">
      <c r="A212" s="54" t="s">
        <v>2053</v>
      </c>
      <c r="B212" s="54" t="s">
        <v>2271</v>
      </c>
      <c r="C212" s="54">
        <v>2</v>
      </c>
      <c r="D212" s="54" t="s">
        <v>2280</v>
      </c>
      <c r="E212" s="54" t="str">
        <f t="shared" si="0"/>
        <v>Programming part 1 - Sequence::2::Describe the tools an IDE provides (editors, error diagnostics, run-time environment, translators)</v>
      </c>
      <c r="F212" s="54" t="s">
        <v>1941</v>
      </c>
      <c r="G212" s="54" t="s">
        <v>1305</v>
      </c>
      <c r="H212" s="54" t="s">
        <v>1083</v>
      </c>
    </row>
    <row r="213" spans="1:8" ht="13">
      <c r="A213" s="54" t="s">
        <v>2053</v>
      </c>
      <c r="B213" s="54" t="s">
        <v>2271</v>
      </c>
      <c r="C213" s="54">
        <v>3</v>
      </c>
      <c r="D213" s="54" t="s">
        <v>2281</v>
      </c>
      <c r="E213" s="54" t="str">
        <f t="shared" si="0"/>
        <v>Programming part 1 - Sequence::3::Use meaningful identifiers</v>
      </c>
      <c r="F213" s="54" t="s">
        <v>1941</v>
      </c>
      <c r="G213" s="54" t="s">
        <v>27</v>
      </c>
      <c r="H213" s="54" t="s">
        <v>1083</v>
      </c>
    </row>
    <row r="214" spans="1:8" ht="13">
      <c r="A214" s="54" t="s">
        <v>2053</v>
      </c>
      <c r="B214" s="54" t="s">
        <v>2271</v>
      </c>
      <c r="C214" s="54">
        <v>3</v>
      </c>
      <c r="D214" s="54" t="s">
        <v>2282</v>
      </c>
      <c r="E214" s="54" t="str">
        <f t="shared" si="0"/>
        <v>Programming part 1 - Sequence::3::Determine the need for variables</v>
      </c>
      <c r="F214" s="54" t="s">
        <v>1941</v>
      </c>
      <c r="G214" s="54" t="s">
        <v>1221</v>
      </c>
      <c r="H214" s="54" t="s">
        <v>1083</v>
      </c>
    </row>
    <row r="215" spans="1:8" ht="13">
      <c r="A215" s="54" t="s">
        <v>2053</v>
      </c>
      <c r="B215" s="54" t="s">
        <v>2271</v>
      </c>
      <c r="C215" s="54">
        <v>3</v>
      </c>
      <c r="D215" s="54" t="s">
        <v>2283</v>
      </c>
      <c r="E215" s="54" t="str">
        <f t="shared" si="0"/>
        <v>Programming part 1 - Sequence::3::Distinguish between declaration, initialisation and assignment of variables</v>
      </c>
      <c r="F215" s="54" t="s">
        <v>1941</v>
      </c>
      <c r="G215" s="54" t="s">
        <v>27</v>
      </c>
      <c r="H215" s="54" t="s">
        <v>1083</v>
      </c>
    </row>
    <row r="216" spans="1:8" ht="13">
      <c r="A216" s="54" t="s">
        <v>2053</v>
      </c>
      <c r="B216" s="54" t="s">
        <v>2271</v>
      </c>
      <c r="C216" s="54">
        <v>3</v>
      </c>
      <c r="D216" s="54" t="s">
        <v>2284</v>
      </c>
      <c r="E216" s="54" t="str">
        <f t="shared" si="0"/>
        <v>Programming part 1 - Sequence::3::Demonstrate appropriate use of naming conventions</v>
      </c>
      <c r="F216" s="54" t="s">
        <v>1941</v>
      </c>
      <c r="G216" s="54" t="s">
        <v>27</v>
      </c>
      <c r="H216" s="54" t="s">
        <v>1083</v>
      </c>
    </row>
    <row r="217" spans="1:8" ht="13">
      <c r="A217" s="54" t="s">
        <v>2053</v>
      </c>
      <c r="B217" s="54" t="s">
        <v>2271</v>
      </c>
      <c r="C217" s="54">
        <v>3</v>
      </c>
      <c r="D217" s="54" t="s">
        <v>2285</v>
      </c>
      <c r="E217" s="54" t="str">
        <f t="shared" si="0"/>
        <v>Programming part 1 - Sequence::3::Output data (e.g. print (my_var))</v>
      </c>
      <c r="F217" s="54" t="s">
        <v>1941</v>
      </c>
      <c r="G217" s="54" t="s">
        <v>27</v>
      </c>
      <c r="H217" s="54" t="s">
        <v>1083</v>
      </c>
    </row>
    <row r="218" spans="1:8" ht="13">
      <c r="A218" s="54" t="s">
        <v>2053</v>
      </c>
      <c r="B218" s="54" t="s">
        <v>2271</v>
      </c>
      <c r="C218" s="54">
        <v>4</v>
      </c>
      <c r="D218" s="54" t="s">
        <v>2286</v>
      </c>
      <c r="E218" s="54" t="str">
        <f t="shared" si="0"/>
        <v>Programming part 1 - Sequence::4::Obtain input from the keyboard in a program</v>
      </c>
      <c r="F218" s="54" t="s">
        <v>1941</v>
      </c>
      <c r="G218" s="54" t="s">
        <v>27</v>
      </c>
      <c r="H218" s="54" t="s">
        <v>1083</v>
      </c>
    </row>
    <row r="219" spans="1:8" ht="13">
      <c r="A219" s="54" t="s">
        <v>2053</v>
      </c>
      <c r="B219" s="54" t="s">
        <v>2271</v>
      </c>
      <c r="C219" s="54">
        <v>4</v>
      </c>
      <c r="D219" s="54" t="s">
        <v>2287</v>
      </c>
      <c r="E219" s="54" t="str">
        <f t="shared" si="0"/>
        <v>Programming part 1 - Sequence::4::Differentiate between the data types; integer, real, Boolean, character, string</v>
      </c>
      <c r="F219" s="54" t="s">
        <v>1941</v>
      </c>
      <c r="G219" s="54" t="s">
        <v>1892</v>
      </c>
      <c r="H219" s="54" t="s">
        <v>1083</v>
      </c>
    </row>
    <row r="220" spans="1:8" ht="13">
      <c r="A220" s="54" t="s">
        <v>2053</v>
      </c>
      <c r="B220" s="54" t="s">
        <v>2271</v>
      </c>
      <c r="C220" s="54">
        <v>4</v>
      </c>
      <c r="D220" s="54" t="s">
        <v>2288</v>
      </c>
      <c r="E220" s="54" t="str">
        <f t="shared" si="0"/>
        <v>Programming part 1 - Sequence::4::Cast variables by calling a function that will return a new value of the desired data type</v>
      </c>
      <c r="F220" s="54" t="s">
        <v>1941</v>
      </c>
      <c r="G220" s="54" t="s">
        <v>1892</v>
      </c>
      <c r="H220" s="54" t="s">
        <v>1083</v>
      </c>
    </row>
    <row r="221" spans="1:8" ht="13">
      <c r="A221" s="54" t="s">
        <v>2053</v>
      </c>
      <c r="B221" s="54" t="s">
        <v>2271</v>
      </c>
      <c r="C221" s="54">
        <v>4</v>
      </c>
      <c r="D221" s="54" t="s">
        <v>2289</v>
      </c>
      <c r="E221" s="54" t="str">
        <f t="shared" si="0"/>
        <v>Programming part 1 - Sequence::4::Define runtime errors in programs</v>
      </c>
      <c r="F221" s="54" t="s">
        <v>1941</v>
      </c>
      <c r="G221" s="54" t="s">
        <v>1221</v>
      </c>
      <c r="H221" s="54" t="s">
        <v>1083</v>
      </c>
    </row>
    <row r="222" spans="1:8" ht="13">
      <c r="A222" s="54" t="s">
        <v>2053</v>
      </c>
      <c r="B222" s="54" t="s">
        <v>2271</v>
      </c>
      <c r="C222" s="54">
        <v>4</v>
      </c>
      <c r="D222" s="54" t="s">
        <v>2290</v>
      </c>
      <c r="E222" s="54" t="str">
        <f t="shared" si="0"/>
        <v>Programming part 1 - Sequence::4::Define validation checks</v>
      </c>
      <c r="F222" s="54" t="s">
        <v>1941</v>
      </c>
      <c r="G222" s="54" t="s">
        <v>1221</v>
      </c>
      <c r="H222" s="54" t="s">
        <v>1083</v>
      </c>
    </row>
    <row r="223" spans="1:8" ht="13">
      <c r="A223" s="54" t="s">
        <v>2053</v>
      </c>
      <c r="B223" s="54" t="s">
        <v>2271</v>
      </c>
      <c r="C223" s="54">
        <v>5</v>
      </c>
      <c r="D223" s="54" t="s">
        <v>2291</v>
      </c>
      <c r="E223" s="54" t="str">
        <f t="shared" si="0"/>
        <v>Programming part 1 - Sequence::5::Identify flowchart symbols and describe how to use them (start, end, input, output, subroutine)</v>
      </c>
      <c r="F223" s="54" t="s">
        <v>1941</v>
      </c>
      <c r="G223" s="54" t="s">
        <v>1221</v>
      </c>
      <c r="H223" s="54" t="s">
        <v>1083</v>
      </c>
    </row>
    <row r="224" spans="1:8" ht="13">
      <c r="A224" s="54" t="s">
        <v>2053</v>
      </c>
      <c r="B224" s="54" t="s">
        <v>2271</v>
      </c>
      <c r="C224" s="54">
        <v>5</v>
      </c>
      <c r="D224" s="54" t="s">
        <v>2292</v>
      </c>
      <c r="E224" s="54" t="str">
        <f t="shared" si="0"/>
        <v>Programming part 1 - Sequence::5::Translate a flowchart into a program sequence</v>
      </c>
      <c r="F224" s="54" t="s">
        <v>1941</v>
      </c>
      <c r="G224" s="54" t="s">
        <v>1221</v>
      </c>
      <c r="H224" s="54" t="s">
        <v>1083</v>
      </c>
    </row>
    <row r="225" spans="1:8" ht="13">
      <c r="A225" s="54" t="s">
        <v>2053</v>
      </c>
      <c r="B225" s="54" t="s">
        <v>2271</v>
      </c>
      <c r="C225" s="54">
        <v>5</v>
      </c>
      <c r="D225" s="54" t="s">
        <v>2293</v>
      </c>
      <c r="E225" s="54" t="str">
        <f t="shared" si="0"/>
        <v>Programming part 1 - Sequence::5::Design a flowchart for a program</v>
      </c>
      <c r="F225" s="54" t="s">
        <v>1941</v>
      </c>
      <c r="G225" s="54" t="s">
        <v>1153</v>
      </c>
      <c r="H225" s="54" t="s">
        <v>1083</v>
      </c>
    </row>
    <row r="226" spans="1:8" ht="13">
      <c r="A226" s="54" t="s">
        <v>2053</v>
      </c>
      <c r="B226" s="54" t="s">
        <v>2294</v>
      </c>
      <c r="C226" s="54">
        <v>6</v>
      </c>
      <c r="D226" s="54" t="s">
        <v>2295</v>
      </c>
      <c r="E226" s="54" t="str">
        <f t="shared" si="0"/>
        <v>Programming part 2 - Selection::6::Be able to locate information using the language documentation</v>
      </c>
      <c r="F226" s="54" t="s">
        <v>1941</v>
      </c>
      <c r="G226" s="54" t="s">
        <v>1305</v>
      </c>
      <c r="H226" s="54" t="s">
        <v>1083</v>
      </c>
    </row>
    <row r="227" spans="1:8" ht="13">
      <c r="A227" s="54" t="s">
        <v>2053</v>
      </c>
      <c r="B227" s="54" t="s">
        <v>2294</v>
      </c>
      <c r="C227" s="54">
        <v>6</v>
      </c>
      <c r="D227" s="54" t="s">
        <v>2296</v>
      </c>
      <c r="E227" s="54" t="str">
        <f t="shared" si="0"/>
        <v>Programming part 2 - Selection::6::Import modules into your code</v>
      </c>
      <c r="F227" s="54" t="s">
        <v>1941</v>
      </c>
      <c r="G227" s="54" t="s">
        <v>27</v>
      </c>
      <c r="H227" s="54" t="s">
        <v>1083</v>
      </c>
    </row>
    <row r="228" spans="1:8" ht="13">
      <c r="A228" s="54" t="s">
        <v>2053</v>
      </c>
      <c r="B228" s="54" t="s">
        <v>2294</v>
      </c>
      <c r="C228" s="54">
        <v>6</v>
      </c>
      <c r="D228" s="54" t="s">
        <v>2297</v>
      </c>
      <c r="E228" s="54" t="str">
        <f t="shared" si="0"/>
        <v>Programming part 2 - Selection::6::Demonstrate how to generate random numbers</v>
      </c>
      <c r="F228" s="54" t="s">
        <v>1941</v>
      </c>
      <c r="G228" s="54" t="s">
        <v>27</v>
      </c>
      <c r="H228" s="54" t="s">
        <v>1083</v>
      </c>
    </row>
    <row r="229" spans="1:8" ht="13">
      <c r="A229" s="54" t="s">
        <v>2053</v>
      </c>
      <c r="B229" s="54" t="s">
        <v>2294</v>
      </c>
      <c r="C229" s="54">
        <v>7</v>
      </c>
      <c r="D229" s="54" t="s">
        <v>2298</v>
      </c>
      <c r="E229" s="54" t="str">
        <f t="shared" si="0"/>
        <v>Programming part 2 - Selection::7::Evaluate arithmetic expressions using rules of operator precedence (BIDMAS)</v>
      </c>
      <c r="F229" s="54" t="s">
        <v>1941</v>
      </c>
      <c r="G229" s="54" t="s">
        <v>27</v>
      </c>
      <c r="H229" s="54" t="s">
        <v>1083</v>
      </c>
    </row>
    <row r="230" spans="1:8" ht="13">
      <c r="A230" s="54" t="s">
        <v>2053</v>
      </c>
      <c r="B230" s="54" t="s">
        <v>2294</v>
      </c>
      <c r="C230" s="54">
        <v>7</v>
      </c>
      <c r="D230" s="54" t="s">
        <v>2299</v>
      </c>
      <c r="E230" s="54" t="str">
        <f t="shared" si="0"/>
        <v>Programming part 2 - Selection::7::Write and use expressions that use arithmetic operators (add, subtract, multiply, real division, integer division, MOD, to the power)</v>
      </c>
      <c r="F230" s="54" t="s">
        <v>1941</v>
      </c>
      <c r="G230" s="54" t="s">
        <v>27</v>
      </c>
      <c r="H230" s="54" t="s">
        <v>1083</v>
      </c>
    </row>
    <row r="231" spans="1:8" ht="13">
      <c r="A231" s="54" t="s">
        <v>2053</v>
      </c>
      <c r="B231" s="54" t="s">
        <v>2294</v>
      </c>
      <c r="C231" s="54">
        <v>7</v>
      </c>
      <c r="D231" s="54" t="s">
        <v>2300</v>
      </c>
      <c r="E231" s="54" t="str">
        <f t="shared" si="0"/>
        <v>Programming part 2 - Selection::7::Assign expressions to variables</v>
      </c>
      <c r="F231" s="54" t="s">
        <v>1941</v>
      </c>
      <c r="G231" s="54" t="s">
        <v>27</v>
      </c>
      <c r="H231" s="54" t="s">
        <v>1083</v>
      </c>
    </row>
    <row r="232" spans="1:8" ht="13">
      <c r="A232" s="54" t="s">
        <v>2053</v>
      </c>
      <c r="B232" s="54" t="s">
        <v>2294</v>
      </c>
      <c r="C232" s="54">
        <v>8</v>
      </c>
      <c r="D232" s="54" t="s">
        <v>2301</v>
      </c>
      <c r="E232" s="54" t="str">
        <f t="shared" si="0"/>
        <v xml:space="preserve">Programming part 2 - Selection::8::Define a condition as an expression that can be evaluated to either True or </v>
      </c>
      <c r="F232" s="54" t="s">
        <v>1941</v>
      </c>
      <c r="G232" s="54" t="s">
        <v>27</v>
      </c>
      <c r="H232" s="54" t="s">
        <v>1083</v>
      </c>
    </row>
    <row r="233" spans="1:8" ht="13">
      <c r="A233" s="54" t="s">
        <v>2053</v>
      </c>
      <c r="B233" s="54" t="s">
        <v>2294</v>
      </c>
      <c r="C233" s="54">
        <v>8</v>
      </c>
      <c r="D233" s="54" t="s">
        <v>2302</v>
      </c>
      <c r="E233" s="54" t="str">
        <f t="shared" si="0"/>
        <v>Programming part 2 - Selection::8::Identify flowchart symbols and describe how to use them (decision)</v>
      </c>
      <c r="F233" s="54" t="s">
        <v>1941</v>
      </c>
      <c r="G233" s="54" t="s">
        <v>1221</v>
      </c>
      <c r="H233" s="54" t="s">
        <v>1083</v>
      </c>
    </row>
    <row r="234" spans="1:8" ht="13">
      <c r="A234" s="54" t="s">
        <v>2053</v>
      </c>
      <c r="B234" s="54" t="s">
        <v>2294</v>
      </c>
      <c r="C234" s="54">
        <v>8</v>
      </c>
      <c r="D234" s="54" t="s">
        <v>2303</v>
      </c>
      <c r="E234" s="54" t="str">
        <f t="shared" si="0"/>
        <v>Programming part 2 - Selection::8::Identify that selection uses conditions to control the flow of execution</v>
      </c>
      <c r="F234" s="54" t="s">
        <v>1941</v>
      </c>
      <c r="G234" s="54" t="s">
        <v>1221</v>
      </c>
      <c r="H234" s="54" t="s">
        <v>1083</v>
      </c>
    </row>
    <row r="235" spans="1:8" ht="13">
      <c r="A235" s="54" t="s">
        <v>2053</v>
      </c>
      <c r="B235" s="54" t="s">
        <v>2294</v>
      </c>
      <c r="C235" s="54">
        <v>8</v>
      </c>
      <c r="D235" s="54" t="s">
        <v>2304</v>
      </c>
      <c r="E235" s="54" t="str">
        <f t="shared" si="0"/>
        <v>Programming part 2 - Selection::8::Walkthrough code that includes selection (if, elif, else)</v>
      </c>
      <c r="F235" s="54" t="s">
        <v>1941</v>
      </c>
      <c r="G235" s="54" t="s">
        <v>1221</v>
      </c>
      <c r="H235" s="54" t="s">
        <v>1083</v>
      </c>
    </row>
    <row r="236" spans="1:8" ht="13">
      <c r="A236" s="54" t="s">
        <v>2053</v>
      </c>
      <c r="B236" s="54" t="s">
        <v>2294</v>
      </c>
      <c r="C236" s="54">
        <v>9</v>
      </c>
      <c r="D236" s="54" t="s">
        <v>2305</v>
      </c>
      <c r="E236" s="54" t="str">
        <f t="shared" si="0"/>
        <v>Programming part 2 - Selection::9::Use selection statements in a program</v>
      </c>
      <c r="F236" s="54" t="s">
        <v>1941</v>
      </c>
      <c r="G236" s="54" t="s">
        <v>27</v>
      </c>
      <c r="H236" s="54" t="s">
        <v>1083</v>
      </c>
    </row>
    <row r="237" spans="1:8" ht="13">
      <c r="A237" s="54" t="s">
        <v>2053</v>
      </c>
      <c r="B237" s="54" t="s">
        <v>2294</v>
      </c>
      <c r="C237" s="54">
        <v>9</v>
      </c>
      <c r="D237" s="54" t="s">
        <v>2306</v>
      </c>
      <c r="E237" s="54" t="str">
        <f t="shared" si="0"/>
        <v>Programming part 2 - Selection::9::Identify when selection statements should be used in programs</v>
      </c>
      <c r="F237" s="54" t="s">
        <v>1941</v>
      </c>
      <c r="G237" s="54" t="s">
        <v>1221</v>
      </c>
      <c r="H237" s="54" t="s">
        <v>1083</v>
      </c>
    </row>
    <row r="238" spans="1:8" ht="13">
      <c r="A238" s="54" t="s">
        <v>2053</v>
      </c>
      <c r="B238" s="54" t="s">
        <v>2294</v>
      </c>
      <c r="C238" s="54">
        <v>9</v>
      </c>
      <c r="D238" s="54" t="s">
        <v>2307</v>
      </c>
      <c r="E238" s="54" t="str">
        <f t="shared" si="0"/>
        <v>Programming part 2 - Selection::9::Write and use expressions that use comparison operators (equal to, not equal to, less than, greater than, less than or equal to, greater than or equal to)</v>
      </c>
      <c r="F238" s="54" t="s">
        <v>1941</v>
      </c>
      <c r="G238" s="54" t="s">
        <v>27</v>
      </c>
      <c r="H238" s="54" t="s">
        <v>1083</v>
      </c>
    </row>
    <row r="239" spans="1:8" ht="13">
      <c r="A239" s="54" t="s">
        <v>2053</v>
      </c>
      <c r="B239" s="54" t="s">
        <v>2294</v>
      </c>
      <c r="C239" s="54">
        <v>10</v>
      </c>
      <c r="D239" s="54" t="s">
        <v>2308</v>
      </c>
      <c r="E239" s="54" t="str">
        <f t="shared" si="0"/>
        <v>Programming part 2 - Selection::10::Describe how Boolean/logical operators can be used in expressions</v>
      </c>
      <c r="F239" s="54" t="s">
        <v>1941</v>
      </c>
      <c r="G239" s="54" t="s">
        <v>27</v>
      </c>
      <c r="H239" s="54" t="s">
        <v>1083</v>
      </c>
    </row>
    <row r="240" spans="1:8" ht="13">
      <c r="A240" s="54" t="s">
        <v>2053</v>
      </c>
      <c r="B240" s="54" t="s">
        <v>2294</v>
      </c>
      <c r="C240" s="54">
        <v>10</v>
      </c>
      <c r="D240" s="54" t="s">
        <v>2309</v>
      </c>
      <c r="E240" s="54" t="str">
        <f t="shared" si="0"/>
        <v>Programming part 2 - Selection::10::Walkthrough code that use conditions with Boolean/logical operators (AND, OR)</v>
      </c>
      <c r="F240" s="54" t="s">
        <v>1941</v>
      </c>
      <c r="G240" s="54" t="s">
        <v>1221</v>
      </c>
      <c r="H240" s="54" t="s">
        <v>1083</v>
      </c>
    </row>
    <row r="241" spans="1:8" ht="13">
      <c r="A241" s="54" t="s">
        <v>2053</v>
      </c>
      <c r="B241" s="54" t="s">
        <v>2294</v>
      </c>
      <c r="C241" s="54">
        <v>10</v>
      </c>
      <c r="D241" s="54" t="s">
        <v>2310</v>
      </c>
      <c r="E241" s="54" t="str">
        <f t="shared" si="0"/>
        <v>Programming part 2 - Selection::10::Write and use expressions that use Boolean/logical operators (AND, OR)</v>
      </c>
      <c r="F241" s="54" t="s">
        <v>1941</v>
      </c>
      <c r="G241" s="54" t="s">
        <v>27</v>
      </c>
      <c r="H241" s="54" t="s">
        <v>1083</v>
      </c>
    </row>
    <row r="242" spans="1:8" ht="13">
      <c r="A242" s="54" t="s">
        <v>2053</v>
      </c>
      <c r="B242" s="54" t="s">
        <v>2294</v>
      </c>
      <c r="C242" s="54">
        <v>11</v>
      </c>
      <c r="D242" s="54" t="s">
        <v>2311</v>
      </c>
      <c r="E242" s="54" t="str">
        <f t="shared" si="0"/>
        <v>Programming part 2 - Selection::11::Define nested selection</v>
      </c>
      <c r="F242" s="54" t="s">
        <v>1941</v>
      </c>
      <c r="G242" s="54" t="s">
        <v>27</v>
      </c>
      <c r="H242" s="54" t="s">
        <v>1083</v>
      </c>
    </row>
    <row r="243" spans="1:8" ht="13">
      <c r="A243" s="54" t="s">
        <v>2053</v>
      </c>
      <c r="B243" s="54" t="s">
        <v>2294</v>
      </c>
      <c r="C243" s="54">
        <v>11</v>
      </c>
      <c r="D243" s="54" t="s">
        <v>2312</v>
      </c>
      <c r="E243" s="54" t="str">
        <f t="shared" si="0"/>
        <v>Programming part 2 - Selection::11::Walk through code that uses nested selection</v>
      </c>
      <c r="F243" s="54" t="s">
        <v>1941</v>
      </c>
      <c r="G243" s="54" t="s">
        <v>1221</v>
      </c>
      <c r="H243" s="54" t="s">
        <v>1083</v>
      </c>
    </row>
    <row r="244" spans="1:8" ht="13">
      <c r="A244" s="54" t="s">
        <v>2053</v>
      </c>
      <c r="B244" s="54" t="s">
        <v>2294</v>
      </c>
      <c r="C244" s="54">
        <v>11</v>
      </c>
      <c r="D244" s="54" t="s">
        <v>2313</v>
      </c>
      <c r="E244" s="54" t="str">
        <f t="shared" si="0"/>
        <v>Programming part 2 - Selection::11::Modify a program that uses nested selection</v>
      </c>
      <c r="F244" s="54" t="s">
        <v>1941</v>
      </c>
      <c r="G244" s="54" t="s">
        <v>27</v>
      </c>
      <c r="H244" s="54" t="s">
        <v>1083</v>
      </c>
    </row>
    <row r="245" spans="1:8" ht="13">
      <c r="A245" s="54" t="s">
        <v>2053</v>
      </c>
      <c r="B245" s="54" t="s">
        <v>2314</v>
      </c>
      <c r="C245" s="54">
        <v>12</v>
      </c>
      <c r="D245" s="54" t="s">
        <v>2315</v>
      </c>
      <c r="E245" s="54" t="str">
        <f t="shared" si="0"/>
        <v>Programming part 3 - Iteration::12::Define iteration as a group of instructions that are repeatedly executed</v>
      </c>
      <c r="F245" s="54" t="s">
        <v>1941</v>
      </c>
      <c r="G245" s="54" t="s">
        <v>1221</v>
      </c>
      <c r="H245" s="54" t="s">
        <v>1083</v>
      </c>
    </row>
    <row r="246" spans="1:8" ht="13">
      <c r="A246" s="54" t="s">
        <v>2053</v>
      </c>
      <c r="B246" s="54" t="s">
        <v>2314</v>
      </c>
      <c r="C246" s="54">
        <v>12</v>
      </c>
      <c r="D246" s="54" t="s">
        <v>2316</v>
      </c>
      <c r="E246" s="54" t="str">
        <f t="shared" si="0"/>
        <v>Programming part 3 - Iteration::12::Modify a program to incorporate a while loop</v>
      </c>
      <c r="F246" s="54" t="s">
        <v>1941</v>
      </c>
      <c r="G246" s="54" t="s">
        <v>27</v>
      </c>
      <c r="H246" s="54" t="s">
        <v>1083</v>
      </c>
    </row>
    <row r="247" spans="1:8" ht="13">
      <c r="A247" s="54" t="s">
        <v>2053</v>
      </c>
      <c r="B247" s="54" t="s">
        <v>2314</v>
      </c>
      <c r="C247" s="54">
        <v>13</v>
      </c>
      <c r="D247" s="54" t="s">
        <v>2317</v>
      </c>
      <c r="E247" s="54" t="str">
        <f t="shared" si="0"/>
        <v>Programming part 3 - Iteration::13::Use a trace table to walkthrough code that uses a while loop</v>
      </c>
      <c r="F247" s="54" t="s">
        <v>1941</v>
      </c>
      <c r="G247" s="54" t="s">
        <v>1221</v>
      </c>
      <c r="H247" s="54" t="s">
        <v>1083</v>
      </c>
    </row>
    <row r="248" spans="1:8" ht="13">
      <c r="A248" s="54" t="s">
        <v>2053</v>
      </c>
      <c r="B248" s="54" t="s">
        <v>2314</v>
      </c>
      <c r="C248" s="54">
        <v>13</v>
      </c>
      <c r="D248" s="54" t="s">
        <v>2318</v>
      </c>
      <c r="E248" s="54" t="str">
        <f t="shared" si="0"/>
        <v>Programming part 3 - Iteration::13::Use a trace table to detect and correct errors in programs</v>
      </c>
      <c r="F248" s="54" t="s">
        <v>1941</v>
      </c>
      <c r="G248" s="54" t="s">
        <v>1221</v>
      </c>
      <c r="H248" s="54" t="s">
        <v>1083</v>
      </c>
    </row>
    <row r="249" spans="1:8" ht="13">
      <c r="A249" s="54" t="s">
        <v>2053</v>
      </c>
      <c r="B249" s="54" t="s">
        <v>2314</v>
      </c>
      <c r="C249" s="54">
        <v>14</v>
      </c>
      <c r="D249" s="54" t="s">
        <v>2319</v>
      </c>
      <c r="E249" s="54" t="str">
        <f t="shared" si="0"/>
        <v>Programming part 3 - Iteration::14::Define a for loop</v>
      </c>
      <c r="F249" s="54" t="s">
        <v>1941</v>
      </c>
      <c r="G249" s="54" t="s">
        <v>27</v>
      </c>
      <c r="H249" s="54" t="s">
        <v>1083</v>
      </c>
    </row>
    <row r="250" spans="1:8" ht="13">
      <c r="A250" s="54" t="s">
        <v>2053</v>
      </c>
      <c r="B250" s="54" t="s">
        <v>2314</v>
      </c>
      <c r="C250" s="54">
        <v>14</v>
      </c>
      <c r="D250" s="54" t="s">
        <v>2320</v>
      </c>
      <c r="E250" s="54" t="str">
        <f t="shared" si="0"/>
        <v>Programming part 3 - Iteration::14::Walk through code that uses a for loop</v>
      </c>
      <c r="F250" s="54" t="s">
        <v>1941</v>
      </c>
      <c r="G250" s="54" t="s">
        <v>1221</v>
      </c>
      <c r="H250" s="54" t="s">
        <v>1083</v>
      </c>
    </row>
    <row r="251" spans="1:8" ht="13">
      <c r="A251" s="54" t="s">
        <v>2053</v>
      </c>
      <c r="B251" s="54" t="s">
        <v>2314</v>
      </c>
      <c r="C251" s="54">
        <v>14</v>
      </c>
      <c r="D251" s="54" t="s">
        <v>2321</v>
      </c>
      <c r="E251" s="54" t="str">
        <f t="shared" si="0"/>
        <v>Programming part 3 - Iteration::14::Modify a program that uses a for loop</v>
      </c>
      <c r="F251" s="54" t="s">
        <v>1941</v>
      </c>
      <c r="G251" s="54" t="s">
        <v>27</v>
      </c>
      <c r="H251" s="54" t="s">
        <v>1083</v>
      </c>
    </row>
    <row r="252" spans="1:8" ht="13">
      <c r="A252" s="54" t="s">
        <v>2053</v>
      </c>
      <c r="B252" s="54" t="s">
        <v>2314</v>
      </c>
      <c r="C252" s="54">
        <v>14</v>
      </c>
      <c r="D252" s="54" t="s">
        <v>2322</v>
      </c>
      <c r="E252" s="54" t="str">
        <f t="shared" si="0"/>
        <v>Programming part 3 - Iteration::14::Compare a while loop and a for loop</v>
      </c>
      <c r="F252" s="54" t="s">
        <v>1941</v>
      </c>
      <c r="G252" s="54" t="s">
        <v>1153</v>
      </c>
      <c r="H252" s="54" t="s">
        <v>1083</v>
      </c>
    </row>
    <row r="253" spans="1:8" ht="13">
      <c r="A253" s="54" t="s">
        <v>2053</v>
      </c>
      <c r="B253" s="54" t="s">
        <v>2314</v>
      </c>
      <c r="C253" s="54">
        <v>15</v>
      </c>
      <c r="D253" s="54" t="s">
        <v>2323</v>
      </c>
      <c r="E253" s="54" t="str">
        <f t="shared" si="0"/>
        <v>Programming part 3 - Iteration::15::Determine the need for validation checks</v>
      </c>
      <c r="F253" s="54" t="s">
        <v>1941</v>
      </c>
      <c r="G253" s="54" t="s">
        <v>1221</v>
      </c>
      <c r="H253" s="54" t="s">
        <v>1083</v>
      </c>
    </row>
    <row r="254" spans="1:8" ht="13">
      <c r="A254" s="54" t="s">
        <v>2053</v>
      </c>
      <c r="B254" s="54" t="s">
        <v>2314</v>
      </c>
      <c r="C254" s="54">
        <v>15</v>
      </c>
      <c r="D254" s="54" t="s">
        <v>2324</v>
      </c>
      <c r="E254" s="54" t="str">
        <f t="shared" si="0"/>
        <v>Programming part 3 - Iteration::15::Use iteration to perform validation checks</v>
      </c>
      <c r="F254" s="54" t="s">
        <v>1941</v>
      </c>
      <c r="G254" s="54" t="s">
        <v>27</v>
      </c>
      <c r="H254" s="54" t="s">
        <v>1083</v>
      </c>
    </row>
    <row r="255" spans="1:8" ht="13">
      <c r="A255" s="54" t="s">
        <v>2053</v>
      </c>
      <c r="B255" s="54" t="s">
        <v>2314</v>
      </c>
      <c r="C255" s="54">
        <v>16</v>
      </c>
      <c r="D255" s="54" t="s">
        <v>2325</v>
      </c>
      <c r="E255" s="54" t="str">
        <f t="shared" si="0"/>
        <v>Programming part 3 - Iteration::16::Describe the purpose of pseudocode</v>
      </c>
      <c r="F255" s="54" t="s">
        <v>1941</v>
      </c>
      <c r="G255" s="54" t="s">
        <v>1221</v>
      </c>
      <c r="H255" s="54" t="s">
        <v>1083</v>
      </c>
    </row>
    <row r="256" spans="1:8" ht="13">
      <c r="A256" s="54" t="s">
        <v>2053</v>
      </c>
      <c r="B256" s="54" t="s">
        <v>2314</v>
      </c>
      <c r="C256" s="54">
        <v>16</v>
      </c>
      <c r="D256" s="54" t="s">
        <v>2326</v>
      </c>
      <c r="E256" s="54" t="str">
        <f t="shared" si="0"/>
        <v>Programming part 3 - Iteration::16::Translate pseudocode into a program</v>
      </c>
      <c r="F256" s="54" t="s">
        <v>1941</v>
      </c>
      <c r="G256" s="54" t="s">
        <v>1221</v>
      </c>
      <c r="H256" s="54" t="s">
        <v>1083</v>
      </c>
    </row>
    <row r="257" spans="1:8" ht="13">
      <c r="A257" s="54" t="s">
        <v>2053</v>
      </c>
      <c r="B257" s="54" t="s">
        <v>2314</v>
      </c>
      <c r="C257" s="54">
        <v>16</v>
      </c>
      <c r="D257" s="54" t="s">
        <v>2327</v>
      </c>
      <c r="E257" s="54" t="str">
        <f t="shared" ref="E257:E325" si="1">B257&amp;"::"&amp;C257&amp;"::"&amp;D257</f>
        <v>Programming part 3 - Iteration::16::Design and build a program using pseudocode</v>
      </c>
      <c r="F257" s="54" t="s">
        <v>1941</v>
      </c>
      <c r="G257" s="54" t="s">
        <v>1153</v>
      </c>
      <c r="H257" s="54" t="s">
        <v>1083</v>
      </c>
    </row>
    <row r="258" spans="1:8" ht="13">
      <c r="A258" s="54" t="s">
        <v>2053</v>
      </c>
      <c r="B258" s="54" t="s">
        <v>2328</v>
      </c>
      <c r="C258" s="54">
        <v>18</v>
      </c>
      <c r="D258" s="54" t="s">
        <v>2329</v>
      </c>
      <c r="E258" s="54" t="str">
        <f t="shared" si="1"/>
        <v>Programming part 4 - Subroutines::18::Describe a subroutine</v>
      </c>
      <c r="F258" s="54" t="s">
        <v>1941</v>
      </c>
      <c r="G258" s="54" t="s">
        <v>27</v>
      </c>
      <c r="H258" s="54" t="s">
        <v>1083</v>
      </c>
    </row>
    <row r="259" spans="1:8" ht="13">
      <c r="A259" s="54" t="s">
        <v>2053</v>
      </c>
      <c r="B259" s="54" t="s">
        <v>2328</v>
      </c>
      <c r="C259" s="54">
        <v>18</v>
      </c>
      <c r="D259" s="54" t="s">
        <v>2330</v>
      </c>
      <c r="E259" s="54" t="str">
        <f t="shared" si="1"/>
        <v>Programming part 4 - Subroutines::18::Describe the purpose of parameters in subroutines</v>
      </c>
      <c r="F259" s="54" t="s">
        <v>1941</v>
      </c>
      <c r="G259" s="54" t="s">
        <v>27</v>
      </c>
      <c r="H259" s="54" t="s">
        <v>1083</v>
      </c>
    </row>
    <row r="260" spans="1:8" ht="13">
      <c r="A260" s="54" t="s">
        <v>2053</v>
      </c>
      <c r="B260" s="54" t="s">
        <v>2328</v>
      </c>
      <c r="C260" s="54">
        <v>18</v>
      </c>
      <c r="D260" s="54" t="s">
        <v>2331</v>
      </c>
      <c r="E260" s="54" t="str">
        <f t="shared" si="1"/>
        <v>Programming part 4 - Subroutines::18::Use procedures that accept arguments through parameters</v>
      </c>
      <c r="F260" s="54" t="s">
        <v>1941</v>
      </c>
      <c r="G260" s="54" t="s">
        <v>27</v>
      </c>
      <c r="H260" s="54" t="s">
        <v>1083</v>
      </c>
    </row>
    <row r="261" spans="1:8" ht="13">
      <c r="A261" s="54" t="s">
        <v>2053</v>
      </c>
      <c r="B261" s="54" t="s">
        <v>2328</v>
      </c>
      <c r="C261" s="54">
        <v>18</v>
      </c>
      <c r="D261" s="54" t="s">
        <v>2332</v>
      </c>
      <c r="E261" s="54" t="str">
        <f t="shared" si="1"/>
        <v>Programming part 4 - Subroutines::18::Describe how subroutines are used for decomposition</v>
      </c>
      <c r="F261" s="54" t="s">
        <v>1941</v>
      </c>
      <c r="G261" s="54" t="s">
        <v>27</v>
      </c>
      <c r="H261" s="54" t="s">
        <v>1083</v>
      </c>
    </row>
    <row r="262" spans="1:8" ht="13">
      <c r="A262" s="54" t="s">
        <v>2053</v>
      </c>
      <c r="B262" s="54" t="s">
        <v>2328</v>
      </c>
      <c r="C262" s="54">
        <v>18</v>
      </c>
      <c r="D262" s="54" t="s">
        <v>2333</v>
      </c>
      <c r="E262" s="54" t="str">
        <f t="shared" si="1"/>
        <v>Programming part 4 - Subroutines::18::List the advantages of subroutines</v>
      </c>
      <c r="F262" s="54" t="s">
        <v>1941</v>
      </c>
      <c r="G262" s="54" t="s">
        <v>27</v>
      </c>
      <c r="H262" s="54" t="s">
        <v>1083</v>
      </c>
    </row>
    <row r="263" spans="1:8" ht="13">
      <c r="A263" s="54" t="s">
        <v>2053</v>
      </c>
      <c r="B263" s="54" t="s">
        <v>2328</v>
      </c>
      <c r="C263" s="54">
        <v>19</v>
      </c>
      <c r="D263" s="54" t="s">
        <v>2334</v>
      </c>
      <c r="E263" s="54" t="str">
        <f t="shared" si="1"/>
        <v>Programming part 4 - Subroutines::19::Explain the difference between a function and a procedure</v>
      </c>
      <c r="F263" s="54" t="s">
        <v>1941</v>
      </c>
      <c r="G263" s="54" t="s">
        <v>27</v>
      </c>
      <c r="H263" s="54" t="s">
        <v>1083</v>
      </c>
    </row>
    <row r="264" spans="1:8" ht="13">
      <c r="A264" s="54" t="s">
        <v>2053</v>
      </c>
      <c r="B264" s="54" t="s">
        <v>2328</v>
      </c>
      <c r="C264" s="54">
        <v>19</v>
      </c>
      <c r="D264" s="54" t="s">
        <v>2335</v>
      </c>
      <c r="E264" s="54" t="str">
        <f t="shared" si="1"/>
        <v>Programming part 4 - Subroutines::19::Use trace tables to investigate functions</v>
      </c>
      <c r="F264" s="54" t="s">
        <v>1941</v>
      </c>
      <c r="G264" s="54" t="s">
        <v>1221</v>
      </c>
      <c r="H264" s="54" t="s">
        <v>1083</v>
      </c>
    </row>
    <row r="265" spans="1:8" ht="13">
      <c r="A265" s="54" t="s">
        <v>2053</v>
      </c>
      <c r="B265" s="54" t="s">
        <v>2328</v>
      </c>
      <c r="C265" s="54">
        <v>19</v>
      </c>
      <c r="D265" s="54" t="s">
        <v>2336</v>
      </c>
      <c r="E265" s="54" t="str">
        <f t="shared" si="1"/>
        <v>Programming part 4 - Subroutines::19::Use functions to return values in programs</v>
      </c>
      <c r="F265" s="54" t="s">
        <v>1941</v>
      </c>
      <c r="G265" s="54" t="s">
        <v>27</v>
      </c>
      <c r="H265" s="54" t="s">
        <v>1083</v>
      </c>
    </row>
    <row r="266" spans="1:8" ht="13">
      <c r="A266" s="54" t="s">
        <v>2053</v>
      </c>
      <c r="B266" s="54" t="s">
        <v>2328</v>
      </c>
      <c r="C266" s="54">
        <v>20</v>
      </c>
      <c r="D266" s="54" t="s">
        <v>2337</v>
      </c>
      <c r="E266" s="54" t="str">
        <f t="shared" si="1"/>
        <v>Programming part 4 - Subroutines::20::Describe scope of variables</v>
      </c>
      <c r="F266" s="54" t="s">
        <v>1941</v>
      </c>
      <c r="G266" s="54" t="s">
        <v>27</v>
      </c>
      <c r="H266" s="54" t="s">
        <v>1083</v>
      </c>
    </row>
    <row r="267" spans="1:8" ht="13">
      <c r="A267" s="54" t="s">
        <v>2053</v>
      </c>
      <c r="B267" s="54" t="s">
        <v>2328</v>
      </c>
      <c r="C267" s="54">
        <v>20</v>
      </c>
      <c r="D267" s="54" t="s">
        <v>2338</v>
      </c>
      <c r="E267" s="54" t="str">
        <f t="shared" si="1"/>
        <v>Programming part 4 - Subroutines::20::Describe how parameters can reduce the need for global variables</v>
      </c>
      <c r="F267" s="54" t="s">
        <v>1941</v>
      </c>
      <c r="G267" s="54" t="s">
        <v>27</v>
      </c>
      <c r="H267" s="54" t="s">
        <v>1083</v>
      </c>
    </row>
    <row r="268" spans="1:8" ht="13">
      <c r="A268" s="54" t="s">
        <v>2053</v>
      </c>
      <c r="B268" s="54" t="s">
        <v>2328</v>
      </c>
      <c r="C268" s="54">
        <v>20</v>
      </c>
      <c r="D268" s="54" t="s">
        <v>2339</v>
      </c>
      <c r="E268" s="54" t="str">
        <f t="shared" si="1"/>
        <v>Programming part 4 - Subroutines::20::Identify when to use global variables</v>
      </c>
      <c r="F268" s="54" t="s">
        <v>1941</v>
      </c>
      <c r="G268" s="54" t="s">
        <v>27</v>
      </c>
      <c r="H268" s="54" t="s">
        <v>1083</v>
      </c>
    </row>
    <row r="269" spans="1:8" ht="13">
      <c r="A269" s="54" t="s">
        <v>2053</v>
      </c>
      <c r="B269" s="54" t="s">
        <v>2328</v>
      </c>
      <c r="C269" s="54">
        <v>20</v>
      </c>
      <c r="D269" s="54" t="s">
        <v>2340</v>
      </c>
      <c r="E269" s="54" t="str">
        <f t="shared" si="1"/>
        <v>Programming part 4 - Subroutines::20::Describe a constant</v>
      </c>
      <c r="F269" s="54" t="s">
        <v>1941</v>
      </c>
      <c r="G269" s="54" t="s">
        <v>27</v>
      </c>
      <c r="H269" s="54" t="s">
        <v>1083</v>
      </c>
    </row>
    <row r="270" spans="1:8" ht="13">
      <c r="A270" s="54" t="s">
        <v>2053</v>
      </c>
      <c r="B270" s="54" t="s">
        <v>2328</v>
      </c>
      <c r="C270" s="54">
        <v>21</v>
      </c>
      <c r="D270" s="54" t="s">
        <v>2341</v>
      </c>
      <c r="E270" s="54" t="str">
        <f t="shared" si="1"/>
        <v>Programming part 4 - Subroutines::21::Use a truth table</v>
      </c>
      <c r="F270" s="54" t="s">
        <v>1941</v>
      </c>
      <c r="G270" s="54" t="s">
        <v>1221</v>
      </c>
      <c r="H270" s="54" t="s">
        <v>1083</v>
      </c>
    </row>
    <row r="271" spans="1:8" ht="13">
      <c r="A271" s="54" t="s">
        <v>2053</v>
      </c>
      <c r="B271" s="54" t="s">
        <v>2328</v>
      </c>
      <c r="C271" s="54">
        <v>21</v>
      </c>
      <c r="D271" s="54" t="s">
        <v>2342</v>
      </c>
      <c r="E271" s="54" t="str">
        <f t="shared" si="1"/>
        <v>Programming part 4 - Subroutines::21::Describe the function of an XOR operator</v>
      </c>
      <c r="F271" s="54" t="s">
        <v>1941</v>
      </c>
      <c r="G271" s="54" t="s">
        <v>24</v>
      </c>
      <c r="H271" s="54" t="s">
        <v>1083</v>
      </c>
    </row>
    <row r="272" spans="1:8" ht="13">
      <c r="A272" s="54" t="s">
        <v>2053</v>
      </c>
      <c r="B272" s="54" t="s">
        <v>2328</v>
      </c>
      <c r="C272" s="54">
        <v>21</v>
      </c>
      <c r="D272" s="54" t="s">
        <v>2343</v>
      </c>
      <c r="E272" s="54" t="str">
        <f t="shared" si="1"/>
        <v>Programming part 4 - Subroutines::21::Design and create a function for an XOR operator</v>
      </c>
      <c r="F272" s="54" t="s">
        <v>1941</v>
      </c>
      <c r="G272" s="54" t="s">
        <v>1153</v>
      </c>
      <c r="H272" s="54" t="s">
        <v>1083</v>
      </c>
    </row>
    <row r="273" spans="1:8" ht="13">
      <c r="A273" s="54" t="s">
        <v>2053</v>
      </c>
      <c r="B273" s="54" t="s">
        <v>2328</v>
      </c>
      <c r="C273" s="54">
        <v>22</v>
      </c>
      <c r="D273" s="54" t="s">
        <v>2344</v>
      </c>
      <c r="E273" s="54" t="str">
        <f t="shared" si="1"/>
        <v>Programming part 4 - Subroutines::22::Describe the structured approach to programming</v>
      </c>
      <c r="F273" s="54" t="s">
        <v>1941</v>
      </c>
      <c r="G273" s="54" t="s">
        <v>27</v>
      </c>
      <c r="H273" s="54" t="s">
        <v>1083</v>
      </c>
    </row>
    <row r="274" spans="1:8" ht="13">
      <c r="A274" s="54" t="s">
        <v>2053</v>
      </c>
      <c r="B274" s="54" t="s">
        <v>2328</v>
      </c>
      <c r="C274" s="54">
        <v>22</v>
      </c>
      <c r="D274" s="54" t="s">
        <v>2345</v>
      </c>
      <c r="E274" s="54" t="str">
        <f t="shared" si="1"/>
        <v>Programming part 4 - Subroutines::22::Explain the advantages of the structured approach</v>
      </c>
      <c r="F274" s="54" t="s">
        <v>1941</v>
      </c>
      <c r="G274" s="54" t="s">
        <v>27</v>
      </c>
      <c r="H274" s="54" t="s">
        <v>1083</v>
      </c>
    </row>
    <row r="275" spans="1:8" ht="13">
      <c r="A275" s="54" t="s">
        <v>2053</v>
      </c>
      <c r="B275" s="54" t="s">
        <v>2328</v>
      </c>
      <c r="C275" s="54">
        <v>22</v>
      </c>
      <c r="D275" s="54" t="s">
        <v>2346</v>
      </c>
      <c r="E275" s="54" t="str">
        <f t="shared" si="1"/>
        <v>Programming part 4 - Subroutines::22::Use the structured approach in programming</v>
      </c>
      <c r="F275" s="54" t="s">
        <v>1941</v>
      </c>
      <c r="G275" s="54" t="s">
        <v>27</v>
      </c>
      <c r="H275" s="54" t="s">
        <v>1083</v>
      </c>
    </row>
    <row r="276" spans="1:8" ht="13">
      <c r="A276" s="54" t="s">
        <v>2053</v>
      </c>
      <c r="B276" s="54" t="s">
        <v>2328</v>
      </c>
      <c r="C276" s="54">
        <v>23</v>
      </c>
      <c r="D276" s="54" t="s">
        <v>2347</v>
      </c>
      <c r="E276" s="54" t="str">
        <f t="shared" si="1"/>
        <v>Programming part 4 - Subroutines::23::Describe iterative testing</v>
      </c>
      <c r="F276" s="54" t="s">
        <v>1941</v>
      </c>
      <c r="G276" s="54" t="s">
        <v>27</v>
      </c>
      <c r="H276" s="54" t="s">
        <v>1083</v>
      </c>
    </row>
    <row r="277" spans="1:8" ht="13">
      <c r="A277" s="54" t="s">
        <v>2053</v>
      </c>
      <c r="B277" s="54" t="s">
        <v>2328</v>
      </c>
      <c r="C277" s="54">
        <v>23</v>
      </c>
      <c r="D277" s="54" t="s">
        <v>2348</v>
      </c>
      <c r="E277" s="54" t="str">
        <f t="shared" si="1"/>
        <v>Programming part 4 - Subroutines::23::Describe the types of testing (erroneous, boundary, normal)</v>
      </c>
      <c r="F277" s="54" t="s">
        <v>1941</v>
      </c>
      <c r="G277" s="54" t="s">
        <v>27</v>
      </c>
      <c r="H277" s="54" t="s">
        <v>1083</v>
      </c>
    </row>
    <row r="278" spans="1:8" ht="13">
      <c r="A278" s="54" t="s">
        <v>2053</v>
      </c>
      <c r="B278" s="54" t="s">
        <v>2328</v>
      </c>
      <c r="C278" s="54">
        <v>23</v>
      </c>
      <c r="D278" s="54" t="s">
        <v>2349</v>
      </c>
      <c r="E278" s="54" t="str">
        <f t="shared" si="1"/>
        <v>Programming part 4 - Subroutines::23::Design and create a program</v>
      </c>
      <c r="F278" s="54" t="s">
        <v>1941</v>
      </c>
      <c r="G278" s="54" t="s">
        <v>1153</v>
      </c>
      <c r="H278" s="54" t="s">
        <v>1083</v>
      </c>
    </row>
    <row r="279" spans="1:8" ht="13">
      <c r="A279" s="54" t="s">
        <v>2053</v>
      </c>
      <c r="B279" s="54" t="s">
        <v>2350</v>
      </c>
      <c r="C279" s="54">
        <v>25</v>
      </c>
      <c r="D279" s="54" t="s">
        <v>2351</v>
      </c>
      <c r="E279" s="54" t="str">
        <f t="shared" si="1"/>
        <v>Programming part 5 - Strings and lists::25::Define the term GUI</v>
      </c>
      <c r="F279" s="54" t="s">
        <v>1941</v>
      </c>
      <c r="G279" s="54" t="s">
        <v>1483</v>
      </c>
      <c r="H279" s="54" t="s">
        <v>1083</v>
      </c>
    </row>
    <row r="280" spans="1:8" ht="13">
      <c r="A280" s="54" t="s">
        <v>2053</v>
      </c>
      <c r="B280" s="54" t="s">
        <v>2350</v>
      </c>
      <c r="C280" s="54">
        <v>25</v>
      </c>
      <c r="D280" s="54" t="s">
        <v>2352</v>
      </c>
      <c r="E280" s="54" t="str">
        <f t="shared" si="1"/>
        <v>Programming part 5 - Strings and lists::25::Import third-party libraries</v>
      </c>
      <c r="F280" s="54" t="s">
        <v>1941</v>
      </c>
      <c r="G280" s="54" t="s">
        <v>1305</v>
      </c>
      <c r="H280" s="54" t="s">
        <v>1083</v>
      </c>
    </row>
    <row r="281" spans="1:8" ht="13">
      <c r="A281" s="54" t="s">
        <v>2053</v>
      </c>
      <c r="B281" s="54" t="s">
        <v>2350</v>
      </c>
      <c r="C281" s="54">
        <v>25</v>
      </c>
      <c r="D281" s="54" t="s">
        <v>2353</v>
      </c>
      <c r="E281" s="54" t="str">
        <f t="shared" si="1"/>
        <v>Programming part 5 - Strings and lists::25::Use guizero to create an event-driven program that uses a GUI</v>
      </c>
      <c r="F281" s="54" t="s">
        <v>1941</v>
      </c>
      <c r="G281" s="54" t="s">
        <v>1305</v>
      </c>
      <c r="H281" s="54" t="s">
        <v>1083</v>
      </c>
    </row>
    <row r="282" spans="1:8" ht="13">
      <c r="A282" s="54" t="s">
        <v>2053</v>
      </c>
      <c r="B282" s="54" t="s">
        <v>2350</v>
      </c>
      <c r="C282" s="54">
        <v>26</v>
      </c>
      <c r="D282" s="54" t="s">
        <v>2354</v>
      </c>
      <c r="E282" s="54" t="str">
        <f t="shared" si="1"/>
        <v>Programming part 5 - Strings and lists::26::Describe the function of string operators</v>
      </c>
      <c r="F282" s="54" t="s">
        <v>1941</v>
      </c>
      <c r="G282" s="54" t="s">
        <v>27</v>
      </c>
      <c r="H282" s="54" t="s">
        <v>1083</v>
      </c>
    </row>
    <row r="283" spans="1:8" ht="13">
      <c r="A283" s="54" t="s">
        <v>2053</v>
      </c>
      <c r="B283" s="54" t="s">
        <v>2350</v>
      </c>
      <c r="C283" s="54">
        <v>26</v>
      </c>
      <c r="D283" s="54" t="s">
        <v>2355</v>
      </c>
      <c r="E283" s="54" t="str">
        <f t="shared" si="1"/>
        <v>Programming part 5 - Strings and lists::26::Use string handling techniques</v>
      </c>
      <c r="F283" s="54" t="s">
        <v>1941</v>
      </c>
      <c r="G283" s="54" t="s">
        <v>27</v>
      </c>
      <c r="H283" s="54" t="s">
        <v>1083</v>
      </c>
    </row>
    <row r="284" spans="1:8" ht="13">
      <c r="A284" s="54" t="s">
        <v>2053</v>
      </c>
      <c r="B284" s="54" t="s">
        <v>2350</v>
      </c>
      <c r="C284" s="54">
        <v>26</v>
      </c>
      <c r="D284" s="54" t="s">
        <v>2356</v>
      </c>
      <c r="E284" s="54" t="str">
        <f t="shared" si="1"/>
        <v>Programming part 5 - Strings and lists::26::Use for loops with string operations</v>
      </c>
      <c r="F284" s="54" t="s">
        <v>1941</v>
      </c>
      <c r="G284" s="54" t="s">
        <v>27</v>
      </c>
      <c r="H284" s="54" t="s">
        <v>1083</v>
      </c>
    </row>
    <row r="285" spans="1:8" ht="13">
      <c r="A285" s="54" t="s">
        <v>2053</v>
      </c>
      <c r="B285" s="54" t="s">
        <v>2350</v>
      </c>
      <c r="C285" s="54">
        <v>27</v>
      </c>
      <c r="D285" s="54" t="s">
        <v>2357</v>
      </c>
      <c r="E285" s="54" t="str">
        <f t="shared" si="1"/>
        <v>Programming part 5 - Strings and lists::27::Use a substring in a program</v>
      </c>
      <c r="F285" s="54" t="s">
        <v>1941</v>
      </c>
      <c r="G285" s="54" t="s">
        <v>27</v>
      </c>
      <c r="H285" s="54" t="s">
        <v>1083</v>
      </c>
    </row>
    <row r="286" spans="1:8" ht="13">
      <c r="A286" s="54" t="s">
        <v>2053</v>
      </c>
      <c r="B286" s="54" t="s">
        <v>2350</v>
      </c>
      <c r="C286" s="54">
        <v>27</v>
      </c>
      <c r="D286" s="54" t="s">
        <v>2358</v>
      </c>
      <c r="E286" s="54" t="str">
        <f t="shared" si="1"/>
        <v>Programming part 5 - Strings and lists::27::Use the in operator to check for a substring</v>
      </c>
      <c r="F286" s="54" t="s">
        <v>1941</v>
      </c>
      <c r="G286" s="54" t="s">
        <v>27</v>
      </c>
      <c r="H286" s="54" t="s">
        <v>1083</v>
      </c>
    </row>
    <row r="287" spans="1:8" ht="13">
      <c r="A287" s="54" t="s">
        <v>2053</v>
      </c>
      <c r="B287" s="54" t="s">
        <v>2350</v>
      </c>
      <c r="C287" s="54">
        <v>27</v>
      </c>
      <c r="D287" s="54" t="s">
        <v>2359</v>
      </c>
      <c r="E287" s="54" t="str">
        <f t="shared" si="1"/>
        <v>Programming part 5 - Strings and lists::27::Use chr() and ord() to perform ASCII conversions</v>
      </c>
      <c r="F287" s="54" t="s">
        <v>1941</v>
      </c>
      <c r="G287" s="54" t="s">
        <v>1892</v>
      </c>
      <c r="H287" s="54" t="s">
        <v>1083</v>
      </c>
    </row>
    <row r="288" spans="1:8" ht="13">
      <c r="A288" s="54" t="s">
        <v>2053</v>
      </c>
      <c r="B288" s="54" t="s">
        <v>2350</v>
      </c>
      <c r="C288" s="54">
        <v>28</v>
      </c>
      <c r="D288" s="54" t="s">
        <v>2360</v>
      </c>
      <c r="E288" s="54" t="str">
        <f t="shared" si="1"/>
        <v>Programming part 5 - Strings and lists::28::Create a program that uses string handling techniques</v>
      </c>
      <c r="F288" s="54" t="s">
        <v>1941</v>
      </c>
      <c r="G288" s="54" t="s">
        <v>27</v>
      </c>
      <c r="H288" s="54" t="s">
        <v>1083</v>
      </c>
    </row>
    <row r="289" spans="1:8" ht="13">
      <c r="A289" s="54" t="s">
        <v>2053</v>
      </c>
      <c r="B289" s="54" t="s">
        <v>2350</v>
      </c>
      <c r="C289" s="54">
        <v>29</v>
      </c>
      <c r="D289" s="54" t="s">
        <v>2361</v>
      </c>
      <c r="E289" s="54" t="str">
        <f t="shared" si="1"/>
        <v>Programming part 5 - Strings and lists::29::Define a data structure</v>
      </c>
      <c r="F289" s="54" t="s">
        <v>1941</v>
      </c>
      <c r="G289" s="54" t="s">
        <v>1892</v>
      </c>
      <c r="H289" s="54" t="s">
        <v>1083</v>
      </c>
    </row>
    <row r="290" spans="1:8" ht="13">
      <c r="A290" s="54" t="s">
        <v>2053</v>
      </c>
      <c r="B290" s="54" t="s">
        <v>2350</v>
      </c>
      <c r="C290" s="54">
        <v>29</v>
      </c>
      <c r="D290" s="54" t="s">
        <v>2362</v>
      </c>
      <c r="E290" s="54" t="str">
        <f t="shared" si="1"/>
        <v>Programming part 5 - Strings and lists::29::Define a list and an array</v>
      </c>
      <c r="F290" s="54" t="s">
        <v>1941</v>
      </c>
      <c r="G290" s="54" t="s">
        <v>1892</v>
      </c>
      <c r="H290" s="54" t="s">
        <v>1083</v>
      </c>
    </row>
    <row r="291" spans="1:8" ht="13">
      <c r="A291" s="54" t="s">
        <v>2053</v>
      </c>
      <c r="B291" s="54" t="s">
        <v>2350</v>
      </c>
      <c r="C291" s="54">
        <v>29</v>
      </c>
      <c r="D291" s="54" t="s">
        <v>2363</v>
      </c>
      <c r="E291" s="54" t="str">
        <f t="shared" si="1"/>
        <v>Programming part 5 - Strings and lists::29::Describe the differences between lists and arrays</v>
      </c>
      <c r="F291" s="54" t="s">
        <v>1941</v>
      </c>
      <c r="G291" s="54" t="s">
        <v>1892</v>
      </c>
      <c r="H291" s="54" t="s">
        <v>1083</v>
      </c>
    </row>
    <row r="292" spans="1:8" ht="13">
      <c r="A292" s="54" t="s">
        <v>2053</v>
      </c>
      <c r="B292" s="54" t="s">
        <v>2350</v>
      </c>
      <c r="C292" s="54">
        <v>29</v>
      </c>
      <c r="D292" s="54" t="s">
        <v>2364</v>
      </c>
      <c r="E292" s="54" t="str">
        <f t="shared" si="1"/>
        <v>Programming part 5 - Strings and lists::29::Use a list in a program</v>
      </c>
      <c r="F292" s="54" t="s">
        <v>1941</v>
      </c>
      <c r="G292" s="54" t="s">
        <v>27</v>
      </c>
      <c r="H292" s="54" t="s">
        <v>1083</v>
      </c>
    </row>
    <row r="293" spans="1:8" ht="13">
      <c r="A293" s="54" t="s">
        <v>2053</v>
      </c>
      <c r="B293" s="54" t="s">
        <v>2350</v>
      </c>
      <c r="C293" s="54">
        <v>29</v>
      </c>
      <c r="D293" s="54" t="s">
        <v>2365</v>
      </c>
      <c r="E293" s="54" t="str">
        <f t="shared" si="1"/>
        <v>Programming part 5 - Strings and lists::29::Append to a list</v>
      </c>
      <c r="F293" s="54" t="s">
        <v>1941</v>
      </c>
      <c r="G293" s="54" t="s">
        <v>27</v>
      </c>
      <c r="H293" s="54" t="s">
        <v>1083</v>
      </c>
    </row>
    <row r="294" spans="1:8" ht="13">
      <c r="A294" s="54" t="s">
        <v>2053</v>
      </c>
      <c r="B294" s="54" t="s">
        <v>2350</v>
      </c>
      <c r="C294" s="54">
        <v>30</v>
      </c>
      <c r="D294" s="54" t="s">
        <v>2366</v>
      </c>
      <c r="E294" s="54" t="str">
        <f t="shared" si="1"/>
        <v>Programming part 5 - Strings and lists::30::Traverse a list of elements</v>
      </c>
      <c r="F294" s="54" t="s">
        <v>1941</v>
      </c>
      <c r="G294" s="54" t="s">
        <v>1885</v>
      </c>
      <c r="H294" s="54" t="s">
        <v>1083</v>
      </c>
    </row>
    <row r="295" spans="1:8" ht="13">
      <c r="A295" s="54" t="s">
        <v>2053</v>
      </c>
      <c r="B295" s="54" t="s">
        <v>2350</v>
      </c>
      <c r="C295" s="54">
        <v>30</v>
      </c>
      <c r="D295" s="54" t="s">
        <v>2367</v>
      </c>
      <c r="E295" s="54" t="str">
        <f t="shared" si="1"/>
        <v>Programming part 5 - Strings and lists::30::Use list methods</v>
      </c>
      <c r="F295" s="54" t="s">
        <v>1941</v>
      </c>
      <c r="G295" s="54" t="s">
        <v>27</v>
      </c>
      <c r="H295" s="54" t="s">
        <v>1083</v>
      </c>
    </row>
    <row r="296" spans="1:8" ht="13">
      <c r="A296" s="54" t="s">
        <v>2053</v>
      </c>
      <c r="B296" s="54" t="s">
        <v>2350</v>
      </c>
      <c r="C296" s="54">
        <v>30</v>
      </c>
      <c r="D296" s="54" t="s">
        <v>2368</v>
      </c>
      <c r="E296" s="54" t="str">
        <f t="shared" si="1"/>
        <v>Programming part 5 - Strings and lists::30::Create a function that returns a list</v>
      </c>
      <c r="F296" s="54" t="s">
        <v>1941</v>
      </c>
      <c r="G296" s="54" t="s">
        <v>27</v>
      </c>
      <c r="H296" s="54" t="s">
        <v>1083</v>
      </c>
    </row>
    <row r="297" spans="1:8" ht="13">
      <c r="A297" s="54" t="s">
        <v>2053</v>
      </c>
      <c r="B297" s="54" t="s">
        <v>2350</v>
      </c>
      <c r="C297" s="54">
        <v>30</v>
      </c>
      <c r="D297" s="54" t="s">
        <v>2369</v>
      </c>
      <c r="E297" s="54" t="str">
        <f t="shared" si="1"/>
        <v>Programming part 5 - Strings and lists::30::Import custom built functions</v>
      </c>
      <c r="F297" s="54" t="s">
        <v>1941</v>
      </c>
      <c r="G297" s="54" t="s">
        <v>27</v>
      </c>
      <c r="H297" s="54" t="s">
        <v>1083</v>
      </c>
    </row>
    <row r="298" spans="1:8" ht="13">
      <c r="A298" s="54" t="s">
        <v>2053</v>
      </c>
      <c r="B298" s="54" t="s">
        <v>2350</v>
      </c>
      <c r="C298" s="54">
        <v>31</v>
      </c>
      <c r="D298" s="54" t="s">
        <v>2370</v>
      </c>
      <c r="E298" s="54" t="str">
        <f t="shared" si="1"/>
        <v>Programming part 5 - Strings and lists::31::Use lists to display output on a physical computing device</v>
      </c>
      <c r="F298" s="54" t="s">
        <v>1941</v>
      </c>
      <c r="G298" s="54" t="s">
        <v>1483</v>
      </c>
      <c r="H298" s="54" t="s">
        <v>1083</v>
      </c>
    </row>
    <row r="299" spans="1:8" ht="13">
      <c r="A299" s="54" t="s">
        <v>2053</v>
      </c>
      <c r="B299" s="54" t="s">
        <v>2350</v>
      </c>
      <c r="C299" s="54">
        <v>32</v>
      </c>
      <c r="D299" s="54" t="s">
        <v>2371</v>
      </c>
      <c r="E299" s="54" t="str">
        <f t="shared" si="1"/>
        <v>Programming part 5 - Strings and lists::32::Use randomisation to append items to a list</v>
      </c>
      <c r="F299" s="54" t="s">
        <v>1941</v>
      </c>
      <c r="G299" s="54" t="s">
        <v>27</v>
      </c>
      <c r="H299" s="54" t="s">
        <v>1083</v>
      </c>
    </row>
    <row r="300" spans="1:8" ht="13">
      <c r="A300" s="54" t="s">
        <v>2053</v>
      </c>
      <c r="B300" s="54" t="s">
        <v>2350</v>
      </c>
      <c r="C300" s="54">
        <v>33</v>
      </c>
      <c r="D300" s="54" t="s">
        <v>2372</v>
      </c>
      <c r="E300" s="54" t="str">
        <f t="shared" si="1"/>
        <v>Programming part 5 - Strings and lists::33::Define a 2D array and a list</v>
      </c>
      <c r="F300" s="54" t="s">
        <v>1941</v>
      </c>
      <c r="G300" s="54" t="s">
        <v>1892</v>
      </c>
      <c r="H300" s="54" t="s">
        <v>1083</v>
      </c>
    </row>
    <row r="301" spans="1:8" ht="13">
      <c r="A301" s="54" t="s">
        <v>2053</v>
      </c>
      <c r="B301" s="54" t="s">
        <v>2350</v>
      </c>
      <c r="C301" s="54">
        <v>33</v>
      </c>
      <c r="D301" s="54" t="s">
        <v>2373</v>
      </c>
      <c r="E301" s="54" t="str">
        <f t="shared" si="1"/>
        <v>Programming part 5 - Strings and lists::33::Use a 2D list in a program</v>
      </c>
      <c r="F301" s="54" t="s">
        <v>1941</v>
      </c>
      <c r="G301" s="54" t="s">
        <v>27</v>
      </c>
      <c r="H301" s="54" t="s">
        <v>1083</v>
      </c>
    </row>
    <row r="302" spans="1:8" ht="13">
      <c r="A302" s="54" t="s">
        <v>2053</v>
      </c>
      <c r="B302" s="54" t="s">
        <v>2350</v>
      </c>
      <c r="C302" s="54">
        <v>34</v>
      </c>
      <c r="D302" s="54" t="s">
        <v>2374</v>
      </c>
      <c r="E302" s="54" t="str">
        <f t="shared" si="1"/>
        <v>Programming part 5 - Strings and lists::34::Use a 2D list as part of a programming challenge</v>
      </c>
      <c r="F302" s="54" t="s">
        <v>1941</v>
      </c>
      <c r="G302" s="54" t="s">
        <v>27</v>
      </c>
      <c r="H302" s="54" t="s">
        <v>1083</v>
      </c>
    </row>
    <row r="303" spans="1:8" ht="13">
      <c r="A303" s="54" t="s">
        <v>2053</v>
      </c>
      <c r="B303" s="54" t="s">
        <v>2375</v>
      </c>
      <c r="C303" s="54">
        <v>36</v>
      </c>
      <c r="D303" s="54" t="s">
        <v>2376</v>
      </c>
      <c r="E303" s="54" t="str">
        <f t="shared" si="1"/>
        <v>Programming part 6 - Dictionaries and datafiles::36::Describe the record data structure</v>
      </c>
      <c r="F303" s="54" t="s">
        <v>1941</v>
      </c>
      <c r="G303" s="54" t="s">
        <v>1892</v>
      </c>
      <c r="H303" s="54" t="s">
        <v>1083</v>
      </c>
    </row>
    <row r="304" spans="1:8" ht="13">
      <c r="A304" s="54" t="s">
        <v>2053</v>
      </c>
      <c r="B304" s="54" t="s">
        <v>2375</v>
      </c>
      <c r="C304" s="54">
        <v>36</v>
      </c>
      <c r="D304" s="54" t="s">
        <v>2377</v>
      </c>
      <c r="E304" s="54" t="str">
        <f t="shared" si="1"/>
        <v>Programming part 6 - Dictionaries and datafiles::36::Use a dictionary to represent a record in a program</v>
      </c>
      <c r="F304" s="54" t="s">
        <v>1941</v>
      </c>
      <c r="G304" s="54" t="s">
        <v>1892</v>
      </c>
      <c r="H304" s="54" t="s">
        <v>1083</v>
      </c>
    </row>
    <row r="305" spans="1:8" ht="13">
      <c r="A305" s="54" t="s">
        <v>2053</v>
      </c>
      <c r="B305" s="54" t="s">
        <v>2375</v>
      </c>
      <c r="C305" s="54">
        <v>36</v>
      </c>
      <c r="D305" s="54" t="s">
        <v>2378</v>
      </c>
      <c r="E305" s="54" t="str">
        <f t="shared" si="1"/>
        <v>Programming part 6 - Dictionaries and datafiles::36::Use a dictionary with a list to represent records in a database</v>
      </c>
      <c r="F305" s="54" t="s">
        <v>1941</v>
      </c>
      <c r="G305" s="54" t="s">
        <v>1892</v>
      </c>
      <c r="H305" s="54" t="s">
        <v>1083</v>
      </c>
    </row>
    <row r="306" spans="1:8" ht="13">
      <c r="A306" s="54" t="s">
        <v>2053</v>
      </c>
      <c r="B306" s="54" t="s">
        <v>2375</v>
      </c>
      <c r="C306" s="54">
        <v>37</v>
      </c>
      <c r="D306" s="54" t="s">
        <v>2379</v>
      </c>
      <c r="E306" s="54" t="str">
        <f t="shared" si="1"/>
        <v>Programming part 6 - Dictionaries and datafiles::37::Describe the dictionary data structure</v>
      </c>
      <c r="F306" s="54" t="s">
        <v>1941</v>
      </c>
      <c r="G306" s="54" t="s">
        <v>1892</v>
      </c>
      <c r="H306" s="54" t="s">
        <v>1083</v>
      </c>
    </row>
    <row r="307" spans="1:8" ht="13">
      <c r="A307" s="54" t="s">
        <v>2053</v>
      </c>
      <c r="B307" s="54" t="s">
        <v>2375</v>
      </c>
      <c r="C307" s="54">
        <v>37</v>
      </c>
      <c r="D307" s="54" t="s">
        <v>2380</v>
      </c>
      <c r="E307" s="54" t="str">
        <f t="shared" si="1"/>
        <v>Programming part 6 - Dictionaries and datafiles::37::Use a dictionary to produce key-value pairs</v>
      </c>
      <c r="F307" s="54" t="s">
        <v>1941</v>
      </c>
      <c r="G307" s="54" t="s">
        <v>27</v>
      </c>
      <c r="H307" s="54" t="s">
        <v>1083</v>
      </c>
    </row>
    <row r="308" spans="1:8" ht="13">
      <c r="A308" s="54" t="s">
        <v>2053</v>
      </c>
      <c r="B308" s="54" t="s">
        <v>2375</v>
      </c>
      <c r="C308" s="54">
        <v>38</v>
      </c>
      <c r="D308" s="54" t="s">
        <v>2381</v>
      </c>
      <c r="E308" s="54" t="str">
        <f t="shared" si="1"/>
        <v>Programming part 6 - Dictionaries and datafiles::38::Determine the purpose of external data files</v>
      </c>
      <c r="F308" s="54" t="s">
        <v>1941</v>
      </c>
      <c r="G308" s="54" t="s">
        <v>1709</v>
      </c>
      <c r="H308" s="54" t="s">
        <v>1083</v>
      </c>
    </row>
    <row r="309" spans="1:8" ht="13">
      <c r="A309" s="54" t="s">
        <v>2053</v>
      </c>
      <c r="B309" s="54" t="s">
        <v>2375</v>
      </c>
      <c r="C309" s="54">
        <v>38</v>
      </c>
      <c r="D309" s="54" t="s">
        <v>2382</v>
      </c>
      <c r="E309" s="54" t="str">
        <f t="shared" si="1"/>
        <v>Programming part 6 - Dictionaries and datafiles::38::Read data from an external text file</v>
      </c>
      <c r="F309" s="54" t="s">
        <v>1941</v>
      </c>
      <c r="G309" s="54" t="s">
        <v>1709</v>
      </c>
      <c r="H309" s="54" t="s">
        <v>1083</v>
      </c>
    </row>
    <row r="310" spans="1:8" ht="13">
      <c r="A310" s="54" t="s">
        <v>2053</v>
      </c>
      <c r="B310" s="54" t="s">
        <v>2375</v>
      </c>
      <c r="C310" s="54">
        <v>39</v>
      </c>
      <c r="D310" s="54" t="s">
        <v>2383</v>
      </c>
      <c r="E310" s="54" t="str">
        <f t="shared" si="1"/>
        <v>Programming part 6 - Dictionaries and datafiles::39::Write to text files</v>
      </c>
      <c r="F310" s="54" t="s">
        <v>1941</v>
      </c>
      <c r="G310" s="54" t="s">
        <v>1709</v>
      </c>
      <c r="H310" s="54" t="s">
        <v>1083</v>
      </c>
    </row>
    <row r="311" spans="1:8" ht="13">
      <c r="A311" s="54" t="s">
        <v>2053</v>
      </c>
      <c r="B311" s="54" t="s">
        <v>2375</v>
      </c>
      <c r="C311" s="54">
        <v>39</v>
      </c>
      <c r="D311" s="54" t="s">
        <v>2384</v>
      </c>
      <c r="E311" s="54" t="str">
        <f t="shared" si="1"/>
        <v>Programming part 6 - Dictionaries and datafiles::39::Append to text files</v>
      </c>
      <c r="F311" s="54" t="s">
        <v>1941</v>
      </c>
      <c r="G311" s="54" t="s">
        <v>1709</v>
      </c>
      <c r="H311" s="54" t="s">
        <v>1083</v>
      </c>
    </row>
    <row r="312" spans="1:8" ht="13">
      <c r="A312" s="54" t="s">
        <v>2053</v>
      </c>
      <c r="B312" s="54" t="s">
        <v>2375</v>
      </c>
      <c r="C312" s="54">
        <v>40</v>
      </c>
      <c r="D312" s="54" t="s">
        <v>2385</v>
      </c>
      <c r="E312" s="54" t="str">
        <f t="shared" si="1"/>
        <v>Programming part 6 - Dictionaries and datafiles::40::Describe a CSV file</v>
      </c>
      <c r="F312" s="54" t="s">
        <v>1941</v>
      </c>
      <c r="G312" s="54" t="s">
        <v>1892</v>
      </c>
      <c r="H312" s="54" t="s">
        <v>1083</v>
      </c>
    </row>
    <row r="313" spans="1:8" ht="13">
      <c r="A313" s="54" t="s">
        <v>2053</v>
      </c>
      <c r="B313" s="54" t="s">
        <v>2375</v>
      </c>
      <c r="C313" s="54">
        <v>40</v>
      </c>
      <c r="D313" s="54" t="s">
        <v>2386</v>
      </c>
      <c r="E313" s="54" t="str">
        <f t="shared" si="1"/>
        <v>Programming part 6 - Dictionaries and datafiles::40::Read from a CSV file</v>
      </c>
      <c r="F313" s="54" t="s">
        <v>1941</v>
      </c>
      <c r="G313" s="54" t="s">
        <v>1709</v>
      </c>
      <c r="H313" s="54" t="s">
        <v>1083</v>
      </c>
    </row>
    <row r="314" spans="1:8" ht="13">
      <c r="A314" s="54" t="s">
        <v>2053</v>
      </c>
      <c r="B314" s="54" t="s">
        <v>2375</v>
      </c>
      <c r="C314" s="54">
        <v>40</v>
      </c>
      <c r="D314" s="54" t="s">
        <v>2387</v>
      </c>
      <c r="E314" s="54" t="str">
        <f t="shared" si="1"/>
        <v>Programming part 6 - Dictionaries and datafiles::40::Use the split() method</v>
      </c>
      <c r="F314" s="54" t="s">
        <v>1941</v>
      </c>
      <c r="G314" s="54" t="s">
        <v>27</v>
      </c>
      <c r="H314" s="54" t="s">
        <v>1083</v>
      </c>
    </row>
    <row r="315" spans="1:8" ht="13">
      <c r="A315" s="54" t="s">
        <v>2053</v>
      </c>
      <c r="B315" s="54" t="s">
        <v>2375</v>
      </c>
      <c r="C315" s="54">
        <v>40</v>
      </c>
      <c r="D315" s="54" t="s">
        <v>2388</v>
      </c>
      <c r="E315" s="54" t="str">
        <f t="shared" si="1"/>
        <v>Programming part 6 - Dictionaries and datafiles::40::Select data from a collection of values</v>
      </c>
      <c r="F315" s="54" t="s">
        <v>1941</v>
      </c>
      <c r="G315" s="54" t="s">
        <v>1892</v>
      </c>
      <c r="H315" s="54" t="s">
        <v>1083</v>
      </c>
    </row>
    <row r="316" spans="1:8" ht="13">
      <c r="A316" s="54" t="s">
        <v>2053</v>
      </c>
      <c r="B316" s="54" t="s">
        <v>2375</v>
      </c>
      <c r="C316" s="54">
        <v>41</v>
      </c>
      <c r="D316" s="54" t="s">
        <v>2389</v>
      </c>
      <c r="E316" s="54" t="str">
        <f t="shared" si="1"/>
        <v>Programming part 6 - Dictionaries and datafiles::41::Write data from a 1D list to a CSV file</v>
      </c>
      <c r="F316" s="54" t="s">
        <v>1941</v>
      </c>
      <c r="G316" s="54" t="s">
        <v>1709</v>
      </c>
      <c r="H316" s="54" t="s">
        <v>1083</v>
      </c>
    </row>
    <row r="317" spans="1:8" ht="13">
      <c r="A317" s="54" t="s">
        <v>2053</v>
      </c>
      <c r="B317" s="54" t="s">
        <v>2375</v>
      </c>
      <c r="C317" s="54">
        <v>41</v>
      </c>
      <c r="D317" s="54" t="s">
        <v>2390</v>
      </c>
      <c r="E317" s="54" t="str">
        <f t="shared" si="1"/>
        <v>Programming part 6 - Dictionaries and datafiles::41::Write data from a 2D list to a CSV file</v>
      </c>
      <c r="F317" s="54" t="s">
        <v>1941</v>
      </c>
      <c r="G317" s="54" t="s">
        <v>1709</v>
      </c>
      <c r="H317" s="54" t="s">
        <v>1083</v>
      </c>
    </row>
    <row r="318" spans="1:8" ht="13">
      <c r="A318" s="54" t="s">
        <v>2053</v>
      </c>
      <c r="B318" s="54" t="s">
        <v>2375</v>
      </c>
      <c r="C318" s="54">
        <v>42</v>
      </c>
      <c r="D318" s="54" t="s">
        <v>2391</v>
      </c>
      <c r="E318" s="54" t="str">
        <f t="shared" si="1"/>
        <v>Programming part 6 - Dictionaries and datafiles::42::Determine the good habits of a programmer</v>
      </c>
      <c r="F318" s="54" t="s">
        <v>1941</v>
      </c>
      <c r="G318" s="54" t="s">
        <v>1777</v>
      </c>
      <c r="H318" s="54" t="s">
        <v>1083</v>
      </c>
    </row>
    <row r="319" spans="1:8" ht="13">
      <c r="A319" s="54" t="s">
        <v>2053</v>
      </c>
      <c r="B319" s="54" t="s">
        <v>2375</v>
      </c>
      <c r="C319" s="54">
        <v>42</v>
      </c>
      <c r="D319" s="54" t="s">
        <v>2392</v>
      </c>
      <c r="E319" s="54" t="str">
        <f t="shared" si="1"/>
        <v>Programming part 6 - Dictionaries and datafiles::42::Explore alternative approaches to programming solutions</v>
      </c>
      <c r="F319" s="54" t="s">
        <v>1941</v>
      </c>
      <c r="G319" s="54" t="s">
        <v>1300</v>
      </c>
      <c r="H319" s="54" t="s">
        <v>1083</v>
      </c>
    </row>
    <row r="320" spans="1:8" ht="13">
      <c r="A320" s="54" t="s">
        <v>2053</v>
      </c>
      <c r="B320" s="54" t="s">
        <v>2375</v>
      </c>
      <c r="C320" s="54">
        <v>42</v>
      </c>
      <c r="D320" s="54" t="s">
        <v>2393</v>
      </c>
      <c r="E320" s="54" t="str">
        <f t="shared" si="1"/>
        <v>Programming part 6 - Dictionaries and datafiles::42::Append to a CSV file</v>
      </c>
      <c r="F320" s="54" t="s">
        <v>1941</v>
      </c>
      <c r="G320" s="54" t="s">
        <v>1709</v>
      </c>
      <c r="H320" s="54" t="s">
        <v>1083</v>
      </c>
    </row>
    <row r="321" spans="1:8" ht="13">
      <c r="A321" s="54" t="s">
        <v>2053</v>
      </c>
      <c r="B321" s="54" t="s">
        <v>2375</v>
      </c>
      <c r="C321" s="54">
        <v>43</v>
      </c>
      <c r="D321" s="54" t="s">
        <v>2394</v>
      </c>
      <c r="E321" s="54" t="str">
        <f t="shared" si="1"/>
        <v>Programming part 6 - Dictionaries and datafiles::43::Write success criteria for a challenging project</v>
      </c>
      <c r="F321" s="54" t="s">
        <v>1941</v>
      </c>
      <c r="G321" s="54" t="s">
        <v>1150</v>
      </c>
      <c r="H321" s="54" t="s">
        <v>1083</v>
      </c>
    </row>
    <row r="322" spans="1:8" ht="13">
      <c r="A322" s="54" t="s">
        <v>2053</v>
      </c>
      <c r="B322" s="54" t="s">
        <v>2375</v>
      </c>
      <c r="C322" s="54">
        <v>44</v>
      </c>
      <c r="D322" s="54" t="s">
        <v>2395</v>
      </c>
      <c r="E322" s="54" t="str">
        <f t="shared" si="1"/>
        <v>Programming part 6 - Dictionaries and datafiles::44::Design the program for a challenging project using flowchart or pseudocode</v>
      </c>
      <c r="F322" s="54" t="s">
        <v>1941</v>
      </c>
      <c r="G322" s="54" t="s">
        <v>1153</v>
      </c>
      <c r="H322" s="54" t="s">
        <v>1083</v>
      </c>
    </row>
    <row r="323" spans="1:8" ht="13">
      <c r="A323" s="54" t="s">
        <v>2053</v>
      </c>
      <c r="B323" s="54" t="s">
        <v>2375</v>
      </c>
      <c r="C323" s="54">
        <v>45</v>
      </c>
      <c r="D323" s="54" t="s">
        <v>2396</v>
      </c>
      <c r="E323" s="54" t="str">
        <f t="shared" si="1"/>
        <v>Programming part 6 - Dictionaries and datafiles::45::Create the solution for the battle boats program</v>
      </c>
      <c r="F323" s="54" t="s">
        <v>1941</v>
      </c>
      <c r="G323" s="54" t="s">
        <v>27</v>
      </c>
      <c r="H323" s="54" t="s">
        <v>1083</v>
      </c>
    </row>
    <row r="324" spans="1:8" ht="13">
      <c r="A324" s="54" t="s">
        <v>2053</v>
      </c>
      <c r="B324" s="54" t="s">
        <v>2375</v>
      </c>
      <c r="C324" s="54">
        <v>49</v>
      </c>
      <c r="D324" s="54" t="s">
        <v>2397</v>
      </c>
      <c r="E324" s="54" t="str">
        <f t="shared" si="1"/>
        <v>Programming part 6 - Dictionaries and datafiles::49::Perform final testing of the solution to a challenging problem</v>
      </c>
      <c r="F324" s="54" t="s">
        <v>1941</v>
      </c>
      <c r="G324" s="54" t="s">
        <v>1150</v>
      </c>
      <c r="H324" s="54" t="s">
        <v>1083</v>
      </c>
    </row>
    <row r="325" spans="1:8" ht="13">
      <c r="A325" s="54" t="s">
        <v>2053</v>
      </c>
      <c r="B325" s="54" t="s">
        <v>2375</v>
      </c>
      <c r="C325" s="54">
        <v>50</v>
      </c>
      <c r="D325" s="54" t="s">
        <v>2398</v>
      </c>
      <c r="E325" s="54" t="str">
        <f t="shared" si="1"/>
        <v>Programming part 6 - Dictionaries and datafiles::50::Evaluate a challenging program</v>
      </c>
      <c r="F325" s="54" t="s">
        <v>1941</v>
      </c>
      <c r="G325" s="54" t="s">
        <v>1150</v>
      </c>
      <c r="H325" s="54" t="s">
        <v>1083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Curriculum Map (KS4)</vt:lpstr>
      <vt:lpstr>KS4 (GCSE Units)</vt:lpstr>
      <vt:lpstr>KS4 (GCSE Specs)</vt:lpstr>
      <vt:lpstr>KS1 (1)</vt:lpstr>
      <vt:lpstr>KS2 (1)</vt:lpstr>
      <vt:lpstr>KS3 (1)</vt:lpstr>
      <vt:lpstr>KS4</vt:lpstr>
      <vt:lpstr>GCSE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2023-03-10T14:20:14Z</dcterms:modified>
</cp:coreProperties>
</file>