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josh.crossman/Downloads/"/>
    </mc:Choice>
  </mc:AlternateContent>
  <xr:revisionPtr revIDLastSave="0" documentId="13_ncr:1_{A52D38F1-AF0D-F54C-9DC4-D6801A6DC2B4}" xr6:coauthVersionLast="47" xr6:coauthVersionMax="47" xr10:uidLastSave="{00000000-0000-0000-0000-000000000000}"/>
  <bookViews>
    <workbookView xWindow="-36520" yWindow="-7520" windowWidth="36520" windowHeight="20480" activeTab="1" xr2:uid="{00000000-000D-0000-FFFF-FFFF00000000}"/>
  </bookViews>
  <sheets>
    <sheet name="Curriculum Map (KS2)" sheetId="2" r:id="rId1"/>
    <sheet name="KS2" sheetId="6" r:id="rId2"/>
    <sheet name="KS1 (1)" sheetId="11" state="hidden" r:id="rId3"/>
    <sheet name="KS2 (1)" sheetId="12" state="hidden" r:id="rId4"/>
    <sheet name="KS3 (1)" sheetId="13" state="hidden" r:id="rId5"/>
    <sheet name="KS4" sheetId="14" state="hidden" r:id="rId6"/>
    <sheet name="GCSE" sheetId="15" state="hidden" r:id="rId7"/>
  </sheets>
  <definedNames>
    <definedName name="_xlnm._FilterDatabase" localSheetId="1" hidden="1">'KS2'!$A$2:$Y$146</definedName>
  </definedNames>
  <calcPr calcId="191029"/>
  <customWorkbookViews>
    <customWorkbookView name="KS1" guid="{A599AFB7-4909-43CA-8768-CF0B44B3D0C2}"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 i="6" l="1"/>
  <c r="E325" i="15"/>
  <c r="E324" i="15"/>
  <c r="E323" i="15"/>
  <c r="E322" i="15"/>
  <c r="E321" i="15"/>
  <c r="E320" i="15"/>
  <c r="E319" i="15"/>
  <c r="E318" i="15"/>
  <c r="E317" i="15"/>
  <c r="E316" i="15"/>
  <c r="E315" i="15"/>
  <c r="E314" i="15"/>
  <c r="E313" i="15"/>
  <c r="E312" i="15"/>
  <c r="E311" i="15"/>
  <c r="E310" i="15"/>
  <c r="E309" i="15"/>
  <c r="E308" i="15"/>
  <c r="E307" i="15"/>
  <c r="E306" i="15"/>
  <c r="E305" i="15"/>
  <c r="E304" i="15"/>
  <c r="E303" i="15"/>
  <c r="E302" i="15"/>
  <c r="E301" i="15"/>
  <c r="E300" i="15"/>
  <c r="E299" i="15"/>
  <c r="E298" i="15"/>
  <c r="E297" i="15"/>
  <c r="E296" i="15"/>
  <c r="E295" i="15"/>
  <c r="E294" i="15"/>
  <c r="E293" i="15"/>
  <c r="E292" i="15"/>
  <c r="E291" i="15"/>
  <c r="E290" i="15"/>
  <c r="E289" i="15"/>
  <c r="E288" i="15"/>
  <c r="E287" i="15"/>
  <c r="E286" i="15"/>
  <c r="E285" i="15"/>
  <c r="E284" i="15"/>
  <c r="E283" i="15"/>
  <c r="E282" i="15"/>
  <c r="E281" i="15"/>
  <c r="E280" i="15"/>
  <c r="E279" i="15"/>
  <c r="E278" i="15"/>
  <c r="E277" i="15"/>
  <c r="E276" i="15"/>
  <c r="E275" i="15"/>
  <c r="E274" i="15"/>
  <c r="E273" i="15"/>
  <c r="E272" i="15"/>
  <c r="E271" i="15"/>
  <c r="E270" i="15"/>
  <c r="E269" i="15"/>
  <c r="E268" i="15"/>
  <c r="E267" i="15"/>
  <c r="E266" i="15"/>
  <c r="E265" i="15"/>
  <c r="E264" i="15"/>
  <c r="E263" i="15"/>
  <c r="E262" i="15"/>
  <c r="E261" i="15"/>
  <c r="E260" i="15"/>
  <c r="E259" i="15"/>
  <c r="E258" i="15"/>
  <c r="E257" i="15"/>
  <c r="E256" i="15"/>
  <c r="E255" i="15"/>
  <c r="E254" i="15"/>
  <c r="E253" i="15"/>
  <c r="E252" i="15"/>
  <c r="E251" i="15"/>
  <c r="E250" i="15"/>
  <c r="E249" i="15"/>
  <c r="E248" i="15"/>
  <c r="E247" i="15"/>
  <c r="E246" i="15"/>
  <c r="E245" i="15"/>
  <c r="E244" i="15"/>
  <c r="E243" i="15"/>
  <c r="E242" i="15"/>
  <c r="E241" i="15"/>
  <c r="E240" i="15"/>
  <c r="E239" i="15"/>
  <c r="E238" i="15"/>
  <c r="E237" i="15"/>
  <c r="E236" i="15"/>
  <c r="E235" i="15"/>
  <c r="E234" i="15"/>
  <c r="E233" i="15"/>
  <c r="E232" i="15"/>
  <c r="E231" i="15"/>
  <c r="E230" i="15"/>
  <c r="E229" i="15"/>
  <c r="E228" i="15"/>
  <c r="E227" i="15"/>
  <c r="E226" i="15"/>
  <c r="E225" i="15"/>
  <c r="E224" i="15"/>
  <c r="E223" i="15"/>
  <c r="E222" i="15"/>
  <c r="E221" i="15"/>
  <c r="E220" i="15"/>
  <c r="E219" i="15"/>
  <c r="E218" i="15"/>
  <c r="E217" i="15"/>
  <c r="E216" i="15"/>
  <c r="E215" i="15"/>
  <c r="E214" i="15"/>
  <c r="E213" i="15"/>
  <c r="E212" i="15"/>
  <c r="E211" i="15"/>
  <c r="E210" i="15"/>
  <c r="E209" i="15"/>
  <c r="E208" i="15"/>
  <c r="E207" i="15"/>
  <c r="E206" i="15"/>
  <c r="E205" i="15"/>
  <c r="E204" i="15"/>
  <c r="E203" i="15"/>
  <c r="E202"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E2" i="15"/>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D3" i="14"/>
  <c r="D2" i="14"/>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 r="Z146" i="6"/>
  <c r="V146" i="6"/>
  <c r="Q146" i="6"/>
  <c r="P146" i="6"/>
  <c r="L146" i="6"/>
  <c r="I146" i="6"/>
  <c r="H146" i="6"/>
  <c r="G146" i="6"/>
  <c r="F146" i="6"/>
  <c r="E146" i="6"/>
  <c r="D146" i="6"/>
  <c r="C146" i="6"/>
  <c r="B146" i="6"/>
  <c r="A146" i="6"/>
  <c r="Z145" i="6"/>
  <c r="V145" i="6"/>
  <c r="Q145" i="6"/>
  <c r="P145" i="6"/>
  <c r="L145" i="6"/>
  <c r="I145" i="6"/>
  <c r="H145" i="6"/>
  <c r="G145" i="6"/>
  <c r="F145" i="6"/>
  <c r="E145" i="6"/>
  <c r="D145" i="6"/>
  <c r="C145" i="6"/>
  <c r="B145" i="6"/>
  <c r="A145" i="6"/>
  <c r="Z144" i="6"/>
  <c r="V144" i="6"/>
  <c r="P144" i="6"/>
  <c r="L144" i="6"/>
  <c r="I144" i="6"/>
  <c r="H144" i="6"/>
  <c r="G144" i="6"/>
  <c r="F144" i="6"/>
  <c r="E144" i="6"/>
  <c r="D144" i="6"/>
  <c r="C144" i="6"/>
  <c r="B144" i="6"/>
  <c r="A144" i="6"/>
  <c r="Z143" i="6"/>
  <c r="V143" i="6"/>
  <c r="P143" i="6"/>
  <c r="L143" i="6"/>
  <c r="I143" i="6"/>
  <c r="H143" i="6"/>
  <c r="G143" i="6"/>
  <c r="F143" i="6"/>
  <c r="E143" i="6"/>
  <c r="D143" i="6"/>
  <c r="C143" i="6"/>
  <c r="B143" i="6"/>
  <c r="A143" i="6"/>
  <c r="Z142" i="6"/>
  <c r="V142" i="6"/>
  <c r="P142" i="6"/>
  <c r="L142" i="6"/>
  <c r="I142" i="6"/>
  <c r="H142" i="6"/>
  <c r="G142" i="6"/>
  <c r="F142" i="6"/>
  <c r="E142" i="6"/>
  <c r="D142" i="6"/>
  <c r="C142" i="6"/>
  <c r="B142" i="6"/>
  <c r="A142" i="6"/>
  <c r="Z141" i="6"/>
  <c r="V141" i="6"/>
  <c r="P141" i="6"/>
  <c r="L141" i="6"/>
  <c r="I141" i="6"/>
  <c r="H141" i="6"/>
  <c r="G141" i="6"/>
  <c r="F141" i="6"/>
  <c r="E141" i="6"/>
  <c r="D141" i="6"/>
  <c r="C141" i="6"/>
  <c r="B141" i="6"/>
  <c r="A141" i="6"/>
  <c r="Z140" i="6"/>
  <c r="S140" i="6"/>
  <c r="Q140" i="6"/>
  <c r="O140" i="6"/>
  <c r="M140" i="6"/>
  <c r="L140" i="6"/>
  <c r="F140" i="6"/>
  <c r="E140" i="6"/>
  <c r="D140" i="6"/>
  <c r="C140" i="6"/>
  <c r="B140" i="6"/>
  <c r="A140" i="6"/>
  <c r="Z139" i="6"/>
  <c r="S139" i="6"/>
  <c r="Q139" i="6"/>
  <c r="O139" i="6"/>
  <c r="M139" i="6"/>
  <c r="L139" i="6"/>
  <c r="F139" i="6"/>
  <c r="E139" i="6"/>
  <c r="D139" i="6"/>
  <c r="C139" i="6"/>
  <c r="B139" i="6"/>
  <c r="A139" i="6"/>
  <c r="Z138" i="6"/>
  <c r="S138" i="6"/>
  <c r="O138" i="6"/>
  <c r="M138" i="6"/>
  <c r="L138" i="6"/>
  <c r="F138" i="6"/>
  <c r="E138" i="6"/>
  <c r="D138" i="6"/>
  <c r="C138" i="6"/>
  <c r="B138" i="6"/>
  <c r="A138" i="6"/>
  <c r="Z137" i="6"/>
  <c r="S137" i="6"/>
  <c r="O137" i="6"/>
  <c r="M137" i="6"/>
  <c r="L137" i="6"/>
  <c r="F137" i="6"/>
  <c r="E137" i="6"/>
  <c r="D137" i="6"/>
  <c r="C137" i="6"/>
  <c r="B137" i="6"/>
  <c r="A137" i="6"/>
  <c r="Z136" i="6"/>
  <c r="S136" i="6"/>
  <c r="O136" i="6"/>
  <c r="M136" i="6"/>
  <c r="L136" i="6"/>
  <c r="F136" i="6"/>
  <c r="E136" i="6"/>
  <c r="D136" i="6"/>
  <c r="C136" i="6"/>
  <c r="B136" i="6"/>
  <c r="A136" i="6"/>
  <c r="Z135" i="6"/>
  <c r="S135" i="6"/>
  <c r="O135" i="6"/>
  <c r="M135" i="6"/>
  <c r="L135" i="6"/>
  <c r="F135" i="6"/>
  <c r="E135" i="6"/>
  <c r="D135" i="6"/>
  <c r="C135" i="6"/>
  <c r="B135" i="6"/>
  <c r="A135" i="6"/>
  <c r="Z134" i="6"/>
  <c r="S134" i="6"/>
  <c r="R134" i="6"/>
  <c r="O134" i="6"/>
  <c r="L134" i="6"/>
  <c r="F134" i="6"/>
  <c r="E134" i="6"/>
  <c r="D134" i="6"/>
  <c r="C134" i="6"/>
  <c r="B134" i="6"/>
  <c r="A134" i="6"/>
  <c r="Z133" i="6"/>
  <c r="S133" i="6"/>
  <c r="R133" i="6"/>
  <c r="L133" i="6"/>
  <c r="F133" i="6"/>
  <c r="E133" i="6"/>
  <c r="D133" i="6"/>
  <c r="C133" i="6"/>
  <c r="B133" i="6"/>
  <c r="A133" i="6"/>
  <c r="Z132" i="6"/>
  <c r="V132" i="6"/>
  <c r="S132" i="6"/>
  <c r="R132" i="6"/>
  <c r="L132" i="6"/>
  <c r="F132" i="6"/>
  <c r="E132" i="6"/>
  <c r="D132" i="6"/>
  <c r="C132" i="6"/>
  <c r="B132" i="6"/>
  <c r="A132" i="6"/>
  <c r="Z131" i="6"/>
  <c r="V131" i="6"/>
  <c r="S131" i="6"/>
  <c r="R131" i="6"/>
  <c r="L131" i="6"/>
  <c r="F131" i="6"/>
  <c r="E131" i="6"/>
  <c r="D131" i="6"/>
  <c r="C131" i="6"/>
  <c r="B131" i="6"/>
  <c r="A131" i="6"/>
  <c r="Z130" i="6"/>
  <c r="R130" i="6"/>
  <c r="L130" i="6"/>
  <c r="F130" i="6"/>
  <c r="E130" i="6"/>
  <c r="D130" i="6"/>
  <c r="C130" i="6"/>
  <c r="B130" i="6"/>
  <c r="A130" i="6"/>
  <c r="Z129" i="6"/>
  <c r="R129" i="6"/>
  <c r="L129" i="6"/>
  <c r="F129" i="6"/>
  <c r="E129" i="6"/>
  <c r="D129" i="6"/>
  <c r="C129" i="6"/>
  <c r="B129" i="6"/>
  <c r="A129" i="6"/>
  <c r="Z128" i="6"/>
  <c r="V128" i="6"/>
  <c r="Q128" i="6"/>
  <c r="L128" i="6"/>
  <c r="I128" i="6"/>
  <c r="H128" i="6"/>
  <c r="G128" i="6"/>
  <c r="F128" i="6"/>
  <c r="E128" i="6"/>
  <c r="D128" i="6"/>
  <c r="C128" i="6"/>
  <c r="B128" i="6"/>
  <c r="A128" i="6"/>
  <c r="Z127" i="6"/>
  <c r="V127" i="6"/>
  <c r="Q127" i="6"/>
  <c r="L127" i="6"/>
  <c r="I127" i="6"/>
  <c r="H127" i="6"/>
  <c r="G127" i="6"/>
  <c r="F127" i="6"/>
  <c r="E127" i="6"/>
  <c r="D127" i="6"/>
  <c r="C127" i="6"/>
  <c r="B127" i="6"/>
  <c r="A127" i="6"/>
  <c r="Z126" i="6"/>
  <c r="V126" i="6"/>
  <c r="Q126" i="6"/>
  <c r="L126" i="6"/>
  <c r="I126" i="6"/>
  <c r="H126" i="6"/>
  <c r="G126" i="6"/>
  <c r="F126" i="6"/>
  <c r="E126" i="6"/>
  <c r="D126" i="6"/>
  <c r="C126" i="6"/>
  <c r="B126" i="6"/>
  <c r="A126" i="6"/>
  <c r="Z125" i="6"/>
  <c r="V125" i="6"/>
  <c r="Q125" i="6"/>
  <c r="L125" i="6"/>
  <c r="I125" i="6"/>
  <c r="H125" i="6"/>
  <c r="G125" i="6"/>
  <c r="F125" i="6"/>
  <c r="E125" i="6"/>
  <c r="D125" i="6"/>
  <c r="C125" i="6"/>
  <c r="B125" i="6"/>
  <c r="A125" i="6"/>
  <c r="Z124" i="6"/>
  <c r="V124" i="6"/>
  <c r="L124" i="6"/>
  <c r="I124" i="6"/>
  <c r="H124" i="6"/>
  <c r="G124" i="6"/>
  <c r="F124" i="6"/>
  <c r="E124" i="6"/>
  <c r="D124" i="6"/>
  <c r="C124" i="6"/>
  <c r="B124" i="6"/>
  <c r="A124" i="6"/>
  <c r="Z123" i="6"/>
  <c r="V123" i="6"/>
  <c r="L123" i="6"/>
  <c r="I123" i="6"/>
  <c r="H123" i="6"/>
  <c r="G123" i="6"/>
  <c r="F123" i="6"/>
  <c r="E123" i="6"/>
  <c r="D123" i="6"/>
  <c r="C123" i="6"/>
  <c r="B123" i="6"/>
  <c r="A123" i="6"/>
  <c r="Z122" i="6"/>
  <c r="U122" i="6"/>
  <c r="T122" i="6"/>
  <c r="S122" i="6"/>
  <c r="Q122" i="6"/>
  <c r="O122" i="6"/>
  <c r="M122" i="6"/>
  <c r="L122" i="6"/>
  <c r="K122" i="6"/>
  <c r="F122" i="6"/>
  <c r="E122" i="6"/>
  <c r="D122" i="6"/>
  <c r="C122" i="6"/>
  <c r="B122" i="6"/>
  <c r="A122" i="6"/>
  <c r="Z121" i="6"/>
  <c r="U121" i="6"/>
  <c r="S121" i="6"/>
  <c r="Q121" i="6"/>
  <c r="O121" i="6"/>
  <c r="M121" i="6"/>
  <c r="L121" i="6"/>
  <c r="K121" i="6"/>
  <c r="F121" i="6"/>
  <c r="E121" i="6"/>
  <c r="D121" i="6"/>
  <c r="C121" i="6"/>
  <c r="B121" i="6"/>
  <c r="A121" i="6"/>
  <c r="Z120" i="6"/>
  <c r="S120" i="6"/>
  <c r="Q120" i="6"/>
  <c r="O120" i="6"/>
  <c r="M120" i="6"/>
  <c r="L120" i="6"/>
  <c r="K120" i="6"/>
  <c r="F120" i="6"/>
  <c r="E120" i="6"/>
  <c r="D120" i="6"/>
  <c r="C120" i="6"/>
  <c r="B120" i="6"/>
  <c r="A120" i="6"/>
  <c r="Z119" i="6"/>
  <c r="W119" i="6"/>
  <c r="Q119" i="6"/>
  <c r="O119" i="6"/>
  <c r="M119" i="6"/>
  <c r="L119" i="6"/>
  <c r="K119" i="6"/>
  <c r="F119" i="6"/>
  <c r="E119" i="6"/>
  <c r="D119" i="6"/>
  <c r="C119" i="6"/>
  <c r="B119" i="6"/>
  <c r="A119" i="6"/>
  <c r="Z118" i="6"/>
  <c r="Q118" i="6"/>
  <c r="O118" i="6"/>
  <c r="M118" i="6"/>
  <c r="L118" i="6"/>
  <c r="K118" i="6"/>
  <c r="F118" i="6"/>
  <c r="E118" i="6"/>
  <c r="D118" i="6"/>
  <c r="C118" i="6"/>
  <c r="B118" i="6"/>
  <c r="A118" i="6"/>
  <c r="Z117" i="6"/>
  <c r="U117" i="6"/>
  <c r="Q117" i="6"/>
  <c r="O117" i="6"/>
  <c r="M117" i="6"/>
  <c r="L117" i="6"/>
  <c r="K117" i="6"/>
  <c r="F117" i="6"/>
  <c r="E117" i="6"/>
  <c r="D117" i="6"/>
  <c r="C117" i="6"/>
  <c r="B117" i="6"/>
  <c r="A117" i="6"/>
  <c r="Z116" i="6"/>
  <c r="U116" i="6"/>
  <c r="S116" i="6"/>
  <c r="Q116" i="6"/>
  <c r="M116" i="6"/>
  <c r="L116" i="6"/>
  <c r="J116" i="6"/>
  <c r="F116" i="6"/>
  <c r="E116" i="6"/>
  <c r="D116" i="6"/>
  <c r="C116" i="6"/>
  <c r="B116" i="6"/>
  <c r="A116" i="6"/>
  <c r="Z115" i="6"/>
  <c r="U115" i="6"/>
  <c r="S115" i="6"/>
  <c r="M115" i="6"/>
  <c r="L115" i="6"/>
  <c r="J115" i="6"/>
  <c r="F115" i="6"/>
  <c r="E115" i="6"/>
  <c r="D115" i="6"/>
  <c r="C115" i="6"/>
  <c r="B115" i="6"/>
  <c r="A115" i="6"/>
  <c r="Z114" i="6"/>
  <c r="U114" i="6"/>
  <c r="T114" i="6"/>
  <c r="S114" i="6"/>
  <c r="M114" i="6"/>
  <c r="L114" i="6"/>
  <c r="J114" i="6"/>
  <c r="F114" i="6"/>
  <c r="E114" i="6"/>
  <c r="D114" i="6"/>
  <c r="C114" i="6"/>
  <c r="B114" i="6"/>
  <c r="A114" i="6"/>
  <c r="Z113" i="6"/>
  <c r="U113" i="6"/>
  <c r="S113" i="6"/>
  <c r="M113" i="6"/>
  <c r="L113" i="6"/>
  <c r="J113" i="6"/>
  <c r="F113" i="6"/>
  <c r="E113" i="6"/>
  <c r="D113" i="6"/>
  <c r="C113" i="6"/>
  <c r="B113" i="6"/>
  <c r="A113" i="6"/>
  <c r="Z112" i="6"/>
  <c r="U112" i="6"/>
  <c r="S112" i="6"/>
  <c r="M112" i="6"/>
  <c r="L112" i="6"/>
  <c r="J112" i="6"/>
  <c r="F112" i="6"/>
  <c r="E112" i="6"/>
  <c r="D112" i="6"/>
  <c r="C112" i="6"/>
  <c r="B112" i="6"/>
  <c r="A112" i="6"/>
  <c r="Z111" i="6"/>
  <c r="U111" i="6"/>
  <c r="S111" i="6"/>
  <c r="M111" i="6"/>
  <c r="L111" i="6"/>
  <c r="J111" i="6"/>
  <c r="F111" i="6"/>
  <c r="E111" i="6"/>
  <c r="D111" i="6"/>
  <c r="C111" i="6"/>
  <c r="B111" i="6"/>
  <c r="A111" i="6"/>
  <c r="Z110" i="6"/>
  <c r="V110" i="6"/>
  <c r="Q110" i="6"/>
  <c r="L110" i="6"/>
  <c r="I110" i="6"/>
  <c r="H110" i="6"/>
  <c r="G110" i="6"/>
  <c r="F110" i="6"/>
  <c r="E110" i="6"/>
  <c r="D110" i="6"/>
  <c r="C110" i="6"/>
  <c r="B110" i="6"/>
  <c r="A110" i="6"/>
  <c r="Z109" i="6"/>
  <c r="V109" i="6"/>
  <c r="Q109" i="6"/>
  <c r="L109" i="6"/>
  <c r="I109" i="6"/>
  <c r="H109" i="6"/>
  <c r="G109" i="6"/>
  <c r="F109" i="6"/>
  <c r="E109" i="6"/>
  <c r="D109" i="6"/>
  <c r="C109" i="6"/>
  <c r="B109" i="6"/>
  <c r="A109" i="6"/>
  <c r="Z108" i="6"/>
  <c r="V108" i="6"/>
  <c r="Q108" i="6"/>
  <c r="L108" i="6"/>
  <c r="I108" i="6"/>
  <c r="H108" i="6"/>
  <c r="G108" i="6"/>
  <c r="F108" i="6"/>
  <c r="E108" i="6"/>
  <c r="D108" i="6"/>
  <c r="C108" i="6"/>
  <c r="B108" i="6"/>
  <c r="A108" i="6"/>
  <c r="Z107" i="6"/>
  <c r="V107" i="6"/>
  <c r="N107" i="6"/>
  <c r="L107" i="6"/>
  <c r="I107" i="6"/>
  <c r="H107" i="6"/>
  <c r="G107" i="6"/>
  <c r="F107" i="6"/>
  <c r="E107" i="6"/>
  <c r="D107" i="6"/>
  <c r="C107" i="6"/>
  <c r="B107" i="6"/>
  <c r="A107" i="6"/>
  <c r="Z106" i="6"/>
  <c r="V106" i="6"/>
  <c r="N106" i="6"/>
  <c r="L106" i="6"/>
  <c r="I106" i="6"/>
  <c r="H106" i="6"/>
  <c r="G106" i="6"/>
  <c r="F106" i="6"/>
  <c r="E106" i="6"/>
  <c r="D106" i="6"/>
  <c r="C106" i="6"/>
  <c r="B106" i="6"/>
  <c r="A106" i="6"/>
  <c r="Z105" i="6"/>
  <c r="V105" i="6"/>
  <c r="N105" i="6"/>
  <c r="L105" i="6"/>
  <c r="I105" i="6"/>
  <c r="H105" i="6"/>
  <c r="G105" i="6"/>
  <c r="F105" i="6"/>
  <c r="E105" i="6"/>
  <c r="D105" i="6"/>
  <c r="C105" i="6"/>
  <c r="B105" i="6"/>
  <c r="A105" i="6"/>
  <c r="Z104" i="6"/>
  <c r="Q104" i="6"/>
  <c r="O104" i="6"/>
  <c r="L104" i="6"/>
  <c r="F104" i="6"/>
  <c r="E104" i="6"/>
  <c r="D104" i="6"/>
  <c r="C104" i="6"/>
  <c r="B104" i="6"/>
  <c r="A104" i="6"/>
  <c r="Z103" i="6"/>
  <c r="S103" i="6"/>
  <c r="O103" i="6"/>
  <c r="L103" i="6"/>
  <c r="F103" i="6"/>
  <c r="E103" i="6"/>
  <c r="D103" i="6"/>
  <c r="C103" i="6"/>
  <c r="B103" i="6"/>
  <c r="A103" i="6"/>
  <c r="Z102" i="6"/>
  <c r="S102" i="6"/>
  <c r="O102" i="6"/>
  <c r="L102" i="6"/>
  <c r="F102" i="6"/>
  <c r="E102" i="6"/>
  <c r="D102" i="6"/>
  <c r="C102" i="6"/>
  <c r="B102" i="6"/>
  <c r="A102" i="6"/>
  <c r="Z101" i="6"/>
  <c r="S101" i="6"/>
  <c r="O101" i="6"/>
  <c r="L101" i="6"/>
  <c r="F101" i="6"/>
  <c r="E101" i="6"/>
  <c r="D101" i="6"/>
  <c r="C101" i="6"/>
  <c r="B101" i="6"/>
  <c r="A101" i="6"/>
  <c r="Z100" i="6"/>
  <c r="S100" i="6"/>
  <c r="O100" i="6"/>
  <c r="L100" i="6"/>
  <c r="F100" i="6"/>
  <c r="E100" i="6"/>
  <c r="D100" i="6"/>
  <c r="C100" i="6"/>
  <c r="B100" i="6"/>
  <c r="A100" i="6"/>
  <c r="Z99" i="6"/>
  <c r="S99" i="6"/>
  <c r="R99" i="6"/>
  <c r="O99" i="6"/>
  <c r="L99" i="6"/>
  <c r="F99" i="6"/>
  <c r="E99" i="6"/>
  <c r="D99" i="6"/>
  <c r="C99" i="6"/>
  <c r="B99" i="6"/>
  <c r="A99" i="6"/>
  <c r="Z98" i="6"/>
  <c r="S98" i="6"/>
  <c r="R98" i="6"/>
  <c r="L98" i="6"/>
  <c r="K98" i="6"/>
  <c r="F98" i="6"/>
  <c r="E98" i="6"/>
  <c r="D98" i="6"/>
  <c r="C98" i="6"/>
  <c r="B98" i="6"/>
  <c r="A98" i="6"/>
  <c r="Z97" i="6"/>
  <c r="S97" i="6"/>
  <c r="R97" i="6"/>
  <c r="L97" i="6"/>
  <c r="K97" i="6"/>
  <c r="F97" i="6"/>
  <c r="E97" i="6"/>
  <c r="D97" i="6"/>
  <c r="C97" i="6"/>
  <c r="B97" i="6"/>
  <c r="A97" i="6"/>
  <c r="Z96" i="6"/>
  <c r="S96" i="6"/>
  <c r="R96" i="6"/>
  <c r="L96" i="6"/>
  <c r="K96" i="6"/>
  <c r="F96" i="6"/>
  <c r="E96" i="6"/>
  <c r="D96" i="6"/>
  <c r="C96" i="6"/>
  <c r="B96" i="6"/>
  <c r="A96" i="6"/>
  <c r="Z95" i="6"/>
  <c r="R95" i="6"/>
  <c r="L95" i="6"/>
  <c r="K95" i="6"/>
  <c r="F95" i="6"/>
  <c r="E95" i="6"/>
  <c r="D95" i="6"/>
  <c r="C95" i="6"/>
  <c r="B95" i="6"/>
  <c r="A95" i="6"/>
  <c r="Z94" i="6"/>
  <c r="R94" i="6"/>
  <c r="Q94" i="6"/>
  <c r="L94" i="6"/>
  <c r="K94" i="6"/>
  <c r="F94" i="6"/>
  <c r="E94" i="6"/>
  <c r="D94" i="6"/>
  <c r="C94" i="6"/>
  <c r="B94" i="6"/>
  <c r="A94" i="6"/>
  <c r="Z93" i="6"/>
  <c r="S93" i="6"/>
  <c r="R93" i="6"/>
  <c r="L93" i="6"/>
  <c r="K93" i="6"/>
  <c r="F93" i="6"/>
  <c r="E93" i="6"/>
  <c r="D93" i="6"/>
  <c r="C93" i="6"/>
  <c r="B93" i="6"/>
  <c r="A93" i="6"/>
  <c r="Z92" i="6"/>
  <c r="V92" i="6"/>
  <c r="Q92" i="6"/>
  <c r="P92" i="6"/>
  <c r="L92" i="6"/>
  <c r="I92" i="6"/>
  <c r="H92" i="6"/>
  <c r="G92" i="6"/>
  <c r="F92" i="6"/>
  <c r="E92" i="6"/>
  <c r="D92" i="6"/>
  <c r="C92" i="6"/>
  <c r="B92" i="6"/>
  <c r="A92" i="6"/>
  <c r="Z91" i="6"/>
  <c r="V91" i="6"/>
  <c r="Q91" i="6"/>
  <c r="P91" i="6"/>
  <c r="L91" i="6"/>
  <c r="I91" i="6"/>
  <c r="H91" i="6"/>
  <c r="G91" i="6"/>
  <c r="F91" i="6"/>
  <c r="E91" i="6"/>
  <c r="D91" i="6"/>
  <c r="C91" i="6"/>
  <c r="B91" i="6"/>
  <c r="A91" i="6"/>
  <c r="Z90" i="6"/>
  <c r="V90" i="6"/>
  <c r="L90" i="6"/>
  <c r="I90" i="6"/>
  <c r="H90" i="6"/>
  <c r="G90" i="6"/>
  <c r="F90" i="6"/>
  <c r="E90" i="6"/>
  <c r="D90" i="6"/>
  <c r="C90" i="6"/>
  <c r="B90" i="6"/>
  <c r="A90" i="6"/>
  <c r="Z89" i="6"/>
  <c r="V89" i="6"/>
  <c r="P89" i="6"/>
  <c r="L89" i="6"/>
  <c r="I89" i="6"/>
  <c r="H89" i="6"/>
  <c r="G89" i="6"/>
  <c r="F89" i="6"/>
  <c r="E89" i="6"/>
  <c r="D89" i="6"/>
  <c r="C89" i="6"/>
  <c r="B89" i="6"/>
  <c r="A89" i="6"/>
  <c r="Z88" i="6"/>
  <c r="V88" i="6"/>
  <c r="P88" i="6"/>
  <c r="L88" i="6"/>
  <c r="I88" i="6"/>
  <c r="H88" i="6"/>
  <c r="G88" i="6"/>
  <c r="F88" i="6"/>
  <c r="E88" i="6"/>
  <c r="D88" i="6"/>
  <c r="C88" i="6"/>
  <c r="B88" i="6"/>
  <c r="A88" i="6"/>
  <c r="Z87" i="6"/>
  <c r="V87" i="6"/>
  <c r="P87" i="6"/>
  <c r="L87" i="6"/>
  <c r="I87" i="6"/>
  <c r="H87" i="6"/>
  <c r="G87" i="6"/>
  <c r="F87" i="6"/>
  <c r="E87" i="6"/>
  <c r="D87" i="6"/>
  <c r="C87" i="6"/>
  <c r="B87" i="6"/>
  <c r="A87" i="6"/>
  <c r="Z86" i="6"/>
  <c r="S86" i="6"/>
  <c r="Q86" i="6"/>
  <c r="O86" i="6"/>
  <c r="M86" i="6"/>
  <c r="L86" i="6"/>
  <c r="K86" i="6"/>
  <c r="F86" i="6"/>
  <c r="E86" i="6"/>
  <c r="D86" i="6"/>
  <c r="C86" i="6"/>
  <c r="B86" i="6"/>
  <c r="A86" i="6"/>
  <c r="Z85" i="6"/>
  <c r="S85" i="6"/>
  <c r="O85" i="6"/>
  <c r="M85" i="6"/>
  <c r="L85" i="6"/>
  <c r="K85" i="6"/>
  <c r="F85" i="6"/>
  <c r="E85" i="6"/>
  <c r="D85" i="6"/>
  <c r="C85" i="6"/>
  <c r="B85" i="6"/>
  <c r="A85" i="6"/>
  <c r="Z84" i="6"/>
  <c r="S84" i="6"/>
  <c r="Q84" i="6"/>
  <c r="O84" i="6"/>
  <c r="M84" i="6"/>
  <c r="L84" i="6"/>
  <c r="K84" i="6"/>
  <c r="F84" i="6"/>
  <c r="E84" i="6"/>
  <c r="D84" i="6"/>
  <c r="C84" i="6"/>
  <c r="B84" i="6"/>
  <c r="A84" i="6"/>
  <c r="Z83" i="6"/>
  <c r="W83" i="6"/>
  <c r="O83" i="6"/>
  <c r="M83" i="6"/>
  <c r="L83" i="6"/>
  <c r="K83" i="6"/>
  <c r="F83" i="6"/>
  <c r="E83" i="6"/>
  <c r="D83" i="6"/>
  <c r="C83" i="6"/>
  <c r="B83" i="6"/>
  <c r="A83" i="6"/>
  <c r="Z82" i="6"/>
  <c r="P82" i="6"/>
  <c r="O82" i="6"/>
  <c r="M82" i="6"/>
  <c r="L82" i="6"/>
  <c r="K82" i="6"/>
  <c r="F82" i="6"/>
  <c r="E82" i="6"/>
  <c r="D82" i="6"/>
  <c r="C82" i="6"/>
  <c r="B82" i="6"/>
  <c r="A82" i="6"/>
  <c r="Z81" i="6"/>
  <c r="Q81" i="6"/>
  <c r="O81" i="6"/>
  <c r="M81" i="6"/>
  <c r="L81" i="6"/>
  <c r="K81" i="6"/>
  <c r="F81" i="6"/>
  <c r="E81" i="6"/>
  <c r="D81" i="6"/>
  <c r="C81" i="6"/>
  <c r="B81" i="6"/>
  <c r="A81" i="6"/>
  <c r="Z80" i="6"/>
  <c r="U80" i="6"/>
  <c r="S80" i="6"/>
  <c r="Q80" i="6"/>
  <c r="L80" i="6"/>
  <c r="J80" i="6"/>
  <c r="H80" i="6"/>
  <c r="G80" i="6"/>
  <c r="F80" i="6"/>
  <c r="E80" i="6"/>
  <c r="D80" i="6"/>
  <c r="C80" i="6"/>
  <c r="B80" i="6"/>
  <c r="A80" i="6"/>
  <c r="Z79" i="6"/>
  <c r="U79" i="6"/>
  <c r="S79" i="6"/>
  <c r="L79" i="6"/>
  <c r="J79" i="6"/>
  <c r="H79" i="6"/>
  <c r="G79" i="6"/>
  <c r="F79" i="6"/>
  <c r="E79" i="6"/>
  <c r="D79" i="6"/>
  <c r="C79" i="6"/>
  <c r="B79" i="6"/>
  <c r="A79" i="6"/>
  <c r="Z78" i="6"/>
  <c r="U78" i="6"/>
  <c r="T78" i="6"/>
  <c r="L78" i="6"/>
  <c r="J78" i="6"/>
  <c r="H78" i="6"/>
  <c r="G78" i="6"/>
  <c r="F78" i="6"/>
  <c r="E78" i="6"/>
  <c r="D78" i="6"/>
  <c r="C78" i="6"/>
  <c r="B78" i="6"/>
  <c r="A78" i="6"/>
  <c r="Z77" i="6"/>
  <c r="U77" i="6"/>
  <c r="L77" i="6"/>
  <c r="J77" i="6"/>
  <c r="H77" i="6"/>
  <c r="G77" i="6"/>
  <c r="F77" i="6"/>
  <c r="E77" i="6"/>
  <c r="D77" i="6"/>
  <c r="C77" i="6"/>
  <c r="B77" i="6"/>
  <c r="A77" i="6"/>
  <c r="Z76" i="6"/>
  <c r="T76" i="6"/>
  <c r="P76" i="6"/>
  <c r="L76" i="6"/>
  <c r="J76" i="6"/>
  <c r="H76" i="6"/>
  <c r="G76" i="6"/>
  <c r="F76" i="6"/>
  <c r="E76" i="6"/>
  <c r="D76" i="6"/>
  <c r="C76" i="6"/>
  <c r="B76" i="6"/>
  <c r="A76" i="6"/>
  <c r="Z75" i="6"/>
  <c r="P75" i="6"/>
  <c r="L75" i="6"/>
  <c r="J75" i="6"/>
  <c r="H75" i="6"/>
  <c r="G75" i="6"/>
  <c r="F75" i="6"/>
  <c r="E75" i="6"/>
  <c r="D75" i="6"/>
  <c r="C75" i="6"/>
  <c r="B75" i="6"/>
  <c r="A75" i="6"/>
  <c r="Z74" i="6"/>
  <c r="V74" i="6"/>
  <c r="Q74" i="6"/>
  <c r="I74" i="6"/>
  <c r="H74" i="6"/>
  <c r="G74" i="6"/>
  <c r="F74" i="6"/>
  <c r="E74" i="6"/>
  <c r="D74" i="6"/>
  <c r="C74" i="6"/>
  <c r="B74" i="6"/>
  <c r="A74" i="6"/>
  <c r="Z73" i="6"/>
  <c r="V73" i="6"/>
  <c r="Q73" i="6"/>
  <c r="I73" i="6"/>
  <c r="H73" i="6"/>
  <c r="G73" i="6"/>
  <c r="F73" i="6"/>
  <c r="E73" i="6"/>
  <c r="D73" i="6"/>
  <c r="C73" i="6"/>
  <c r="B73" i="6"/>
  <c r="A73" i="6"/>
  <c r="Z72" i="6"/>
  <c r="V72" i="6"/>
  <c r="I72" i="6"/>
  <c r="H72" i="6"/>
  <c r="G72" i="6"/>
  <c r="F72" i="6"/>
  <c r="E72" i="6"/>
  <c r="D72" i="6"/>
  <c r="C72" i="6"/>
  <c r="B72" i="6"/>
  <c r="A72" i="6"/>
  <c r="Z71" i="6"/>
  <c r="V71" i="6"/>
  <c r="Q71" i="6"/>
  <c r="I71" i="6"/>
  <c r="H71" i="6"/>
  <c r="G71" i="6"/>
  <c r="F71" i="6"/>
  <c r="E71" i="6"/>
  <c r="D71" i="6"/>
  <c r="C71" i="6"/>
  <c r="B71" i="6"/>
  <c r="A71" i="6"/>
  <c r="Z70" i="6"/>
  <c r="V70" i="6"/>
  <c r="N70" i="6"/>
  <c r="I70" i="6"/>
  <c r="H70" i="6"/>
  <c r="G70" i="6"/>
  <c r="F70" i="6"/>
  <c r="E70" i="6"/>
  <c r="D70" i="6"/>
  <c r="C70" i="6"/>
  <c r="B70" i="6"/>
  <c r="A70" i="6"/>
  <c r="Z69" i="6"/>
  <c r="V69" i="6"/>
  <c r="Q69" i="6"/>
  <c r="I69" i="6"/>
  <c r="H69" i="6"/>
  <c r="G69" i="6"/>
  <c r="F69" i="6"/>
  <c r="E69" i="6"/>
  <c r="D69" i="6"/>
  <c r="C69" i="6"/>
  <c r="B69" i="6"/>
  <c r="A69" i="6"/>
  <c r="Z68" i="6"/>
  <c r="S68" i="6"/>
  <c r="Q68" i="6"/>
  <c r="O68" i="6"/>
  <c r="M68" i="6"/>
  <c r="L68" i="6"/>
  <c r="F68" i="6"/>
  <c r="E68" i="6"/>
  <c r="D68" i="6"/>
  <c r="C68" i="6"/>
  <c r="B68" i="6"/>
  <c r="A68" i="6"/>
  <c r="Z67" i="6"/>
  <c r="W67" i="6"/>
  <c r="S67" i="6"/>
  <c r="O67" i="6"/>
  <c r="M67" i="6"/>
  <c r="L67" i="6"/>
  <c r="F67" i="6"/>
  <c r="E67" i="6"/>
  <c r="D67" i="6"/>
  <c r="C67" i="6"/>
  <c r="B67" i="6"/>
  <c r="A67" i="6"/>
  <c r="Z66" i="6"/>
  <c r="S66" i="6"/>
  <c r="O66" i="6"/>
  <c r="M66" i="6"/>
  <c r="L66" i="6"/>
  <c r="F66" i="6"/>
  <c r="E66" i="6"/>
  <c r="D66" i="6"/>
  <c r="C66" i="6"/>
  <c r="B66" i="6"/>
  <c r="A66" i="6"/>
  <c r="Z65" i="6"/>
  <c r="S65" i="6"/>
  <c r="Q65" i="6"/>
  <c r="O65" i="6"/>
  <c r="M65" i="6"/>
  <c r="L65" i="6"/>
  <c r="F65" i="6"/>
  <c r="E65" i="6"/>
  <c r="D65" i="6"/>
  <c r="C65" i="6"/>
  <c r="B65" i="6"/>
  <c r="A65" i="6"/>
  <c r="Z64" i="6"/>
  <c r="T64" i="6"/>
  <c r="S64" i="6"/>
  <c r="O64" i="6"/>
  <c r="M64" i="6"/>
  <c r="L64" i="6"/>
  <c r="F64" i="6"/>
  <c r="E64" i="6"/>
  <c r="D64" i="6"/>
  <c r="C64" i="6"/>
  <c r="B64" i="6"/>
  <c r="A64" i="6"/>
  <c r="Z63" i="6"/>
  <c r="S63" i="6"/>
  <c r="O63" i="6"/>
  <c r="M63" i="6"/>
  <c r="L63" i="6"/>
  <c r="F63" i="6"/>
  <c r="E63" i="6"/>
  <c r="D63" i="6"/>
  <c r="C63" i="6"/>
  <c r="B63" i="6"/>
  <c r="A63" i="6"/>
  <c r="Z62" i="6"/>
  <c r="R62" i="6"/>
  <c r="P62" i="6"/>
  <c r="L62" i="6"/>
  <c r="H62" i="6"/>
  <c r="F62" i="6"/>
  <c r="E62" i="6"/>
  <c r="D62" i="6"/>
  <c r="C62" i="6"/>
  <c r="B62" i="6"/>
  <c r="A62" i="6"/>
  <c r="Z61" i="6"/>
  <c r="S61" i="6"/>
  <c r="R61" i="6"/>
  <c r="P61" i="6"/>
  <c r="L61" i="6"/>
  <c r="H61" i="6"/>
  <c r="F61" i="6"/>
  <c r="E61" i="6"/>
  <c r="D61" i="6"/>
  <c r="C61" i="6"/>
  <c r="B61" i="6"/>
  <c r="A61" i="6"/>
  <c r="Z60" i="6"/>
  <c r="S60" i="6"/>
  <c r="R60" i="6"/>
  <c r="L60" i="6"/>
  <c r="H60" i="6"/>
  <c r="F60" i="6"/>
  <c r="E60" i="6"/>
  <c r="D60" i="6"/>
  <c r="C60" i="6"/>
  <c r="B60" i="6"/>
  <c r="A60" i="6"/>
  <c r="Z59" i="6"/>
  <c r="S59" i="6"/>
  <c r="R59" i="6"/>
  <c r="P59" i="6"/>
  <c r="L59" i="6"/>
  <c r="H59" i="6"/>
  <c r="F59" i="6"/>
  <c r="E59" i="6"/>
  <c r="D59" i="6"/>
  <c r="C59" i="6"/>
  <c r="B59" i="6"/>
  <c r="A59" i="6"/>
  <c r="Z58" i="6"/>
  <c r="S58" i="6"/>
  <c r="R58" i="6"/>
  <c r="P58" i="6"/>
  <c r="L58" i="6"/>
  <c r="H58" i="6"/>
  <c r="F58" i="6"/>
  <c r="E58" i="6"/>
  <c r="D58" i="6"/>
  <c r="C58" i="6"/>
  <c r="B58" i="6"/>
  <c r="A58" i="6"/>
  <c r="Z57" i="6"/>
  <c r="R57" i="6"/>
  <c r="L57" i="6"/>
  <c r="H57" i="6"/>
  <c r="F57" i="6"/>
  <c r="E57" i="6"/>
  <c r="D57" i="6"/>
  <c r="C57" i="6"/>
  <c r="B57" i="6"/>
  <c r="A57" i="6"/>
  <c r="Z56" i="6"/>
  <c r="V56" i="6"/>
  <c r="L56" i="6"/>
  <c r="I56" i="6"/>
  <c r="H56" i="6"/>
  <c r="G56" i="6"/>
  <c r="F56" i="6"/>
  <c r="E56" i="6"/>
  <c r="D56" i="6"/>
  <c r="C56" i="6"/>
  <c r="B56" i="6"/>
  <c r="A56" i="6"/>
  <c r="Z55" i="6"/>
  <c r="V55" i="6"/>
  <c r="N55" i="6"/>
  <c r="L55" i="6"/>
  <c r="I55" i="6"/>
  <c r="H55" i="6"/>
  <c r="G55" i="6"/>
  <c r="F55" i="6"/>
  <c r="E55" i="6"/>
  <c r="D55" i="6"/>
  <c r="C55" i="6"/>
  <c r="B55" i="6"/>
  <c r="A55" i="6"/>
  <c r="Z54" i="6"/>
  <c r="V54" i="6"/>
  <c r="L54" i="6"/>
  <c r="I54" i="6"/>
  <c r="H54" i="6"/>
  <c r="G54" i="6"/>
  <c r="F54" i="6"/>
  <c r="E54" i="6"/>
  <c r="D54" i="6"/>
  <c r="C54" i="6"/>
  <c r="B54" i="6"/>
  <c r="A54" i="6"/>
  <c r="Z53" i="6"/>
  <c r="V53" i="6"/>
  <c r="N53" i="6"/>
  <c r="L53" i="6"/>
  <c r="I53" i="6"/>
  <c r="H53" i="6"/>
  <c r="G53" i="6"/>
  <c r="F53" i="6"/>
  <c r="E53" i="6"/>
  <c r="D53" i="6"/>
  <c r="C53" i="6"/>
  <c r="B53" i="6"/>
  <c r="A53" i="6"/>
  <c r="Z52" i="6"/>
  <c r="V52" i="6"/>
  <c r="S52" i="6"/>
  <c r="L52" i="6"/>
  <c r="I52" i="6"/>
  <c r="H52" i="6"/>
  <c r="G52" i="6"/>
  <c r="F52" i="6"/>
  <c r="E52" i="6"/>
  <c r="D52" i="6"/>
  <c r="C52" i="6"/>
  <c r="B52" i="6"/>
  <c r="A52" i="6"/>
  <c r="Z51" i="6"/>
  <c r="V51" i="6"/>
  <c r="N51" i="6"/>
  <c r="L51" i="6"/>
  <c r="I51" i="6"/>
  <c r="H51" i="6"/>
  <c r="G51" i="6"/>
  <c r="F51" i="6"/>
  <c r="E51" i="6"/>
  <c r="D51" i="6"/>
  <c r="C51" i="6"/>
  <c r="B51" i="6"/>
  <c r="A51" i="6"/>
  <c r="Z50" i="6"/>
  <c r="Q50" i="6"/>
  <c r="O50" i="6"/>
  <c r="M50" i="6"/>
  <c r="L50" i="6"/>
  <c r="K50" i="6"/>
  <c r="F50" i="6"/>
  <c r="E50" i="6"/>
  <c r="D50" i="6"/>
  <c r="C50" i="6"/>
  <c r="B50" i="6"/>
  <c r="A50" i="6"/>
  <c r="Z49" i="6"/>
  <c r="S49" i="6"/>
  <c r="O49" i="6"/>
  <c r="M49" i="6"/>
  <c r="L49" i="6"/>
  <c r="K49" i="6"/>
  <c r="F49" i="6"/>
  <c r="E49" i="6"/>
  <c r="D49" i="6"/>
  <c r="C49" i="6"/>
  <c r="B49" i="6"/>
  <c r="A49" i="6"/>
  <c r="Z48" i="6"/>
  <c r="S48" i="6"/>
  <c r="O48" i="6"/>
  <c r="M48" i="6"/>
  <c r="L48" i="6"/>
  <c r="K48" i="6"/>
  <c r="F48" i="6"/>
  <c r="E48" i="6"/>
  <c r="D48" i="6"/>
  <c r="C48" i="6"/>
  <c r="B48" i="6"/>
  <c r="A48" i="6"/>
  <c r="Z47" i="6"/>
  <c r="S47" i="6"/>
  <c r="R47" i="6"/>
  <c r="Q47" i="6"/>
  <c r="O47" i="6"/>
  <c r="M47" i="6"/>
  <c r="L47" i="6"/>
  <c r="K47" i="6"/>
  <c r="F47" i="6"/>
  <c r="E47" i="6"/>
  <c r="D47" i="6"/>
  <c r="C47" i="6"/>
  <c r="B47" i="6"/>
  <c r="A47" i="6"/>
  <c r="Z46" i="6"/>
  <c r="S46" i="6"/>
  <c r="Q46" i="6"/>
  <c r="P46" i="6"/>
  <c r="O46" i="6"/>
  <c r="M46" i="6"/>
  <c r="L46" i="6"/>
  <c r="K46" i="6"/>
  <c r="F46" i="6"/>
  <c r="E46" i="6"/>
  <c r="D46" i="6"/>
  <c r="C46" i="6"/>
  <c r="B46" i="6"/>
  <c r="A46" i="6"/>
  <c r="Z45" i="6"/>
  <c r="R45" i="6"/>
  <c r="P45" i="6"/>
  <c r="M45" i="6"/>
  <c r="L45" i="6"/>
  <c r="K45" i="6"/>
  <c r="F45" i="6"/>
  <c r="E45" i="6"/>
  <c r="D45" i="6"/>
  <c r="C45" i="6"/>
  <c r="B45" i="6"/>
  <c r="A45" i="6"/>
  <c r="Z44" i="6"/>
  <c r="W44" i="6"/>
  <c r="U44" i="6"/>
  <c r="T44" i="6"/>
  <c r="M44" i="6"/>
  <c r="L44" i="6"/>
  <c r="K44" i="6"/>
  <c r="J44" i="6"/>
  <c r="F44" i="6"/>
  <c r="E44" i="6"/>
  <c r="D44" i="6"/>
  <c r="C44" i="6"/>
  <c r="B44" i="6"/>
  <c r="A44" i="6"/>
  <c r="Z43" i="6"/>
  <c r="U43" i="6"/>
  <c r="M43" i="6"/>
  <c r="L43" i="6"/>
  <c r="K43" i="6"/>
  <c r="J43" i="6"/>
  <c r="F43" i="6"/>
  <c r="E43" i="6"/>
  <c r="D43" i="6"/>
  <c r="C43" i="6"/>
  <c r="B43" i="6"/>
  <c r="A43" i="6"/>
  <c r="Z42" i="6"/>
  <c r="U42" i="6"/>
  <c r="O42" i="6"/>
  <c r="M42" i="6"/>
  <c r="L42" i="6"/>
  <c r="K42" i="6"/>
  <c r="J42" i="6"/>
  <c r="F42" i="6"/>
  <c r="E42" i="6"/>
  <c r="D42" i="6"/>
  <c r="C42" i="6"/>
  <c r="B42" i="6"/>
  <c r="A42" i="6"/>
  <c r="Z41" i="6"/>
  <c r="U41" i="6"/>
  <c r="M41" i="6"/>
  <c r="L41" i="6"/>
  <c r="K41" i="6"/>
  <c r="J41" i="6"/>
  <c r="F41" i="6"/>
  <c r="E41" i="6"/>
  <c r="D41" i="6"/>
  <c r="C41" i="6"/>
  <c r="B41" i="6"/>
  <c r="A41" i="6"/>
  <c r="Z40" i="6"/>
  <c r="U40" i="6"/>
  <c r="M40" i="6"/>
  <c r="L40" i="6"/>
  <c r="K40" i="6"/>
  <c r="J40" i="6"/>
  <c r="F40" i="6"/>
  <c r="E40" i="6"/>
  <c r="D40" i="6"/>
  <c r="C40" i="6"/>
  <c r="B40" i="6"/>
  <c r="A40" i="6"/>
  <c r="Z39" i="6"/>
  <c r="W39" i="6"/>
  <c r="U39" i="6"/>
  <c r="M39" i="6"/>
  <c r="L39" i="6"/>
  <c r="K39" i="6"/>
  <c r="J39" i="6"/>
  <c r="F39" i="6"/>
  <c r="E39" i="6"/>
  <c r="D39" i="6"/>
  <c r="C39" i="6"/>
  <c r="B39" i="6"/>
  <c r="A39" i="6"/>
  <c r="Z38" i="6"/>
  <c r="V38" i="6"/>
  <c r="Q38" i="6"/>
  <c r="L38" i="6"/>
  <c r="I38" i="6"/>
  <c r="H38" i="6"/>
  <c r="G38" i="6"/>
  <c r="F38" i="6"/>
  <c r="E38" i="6"/>
  <c r="D38" i="6"/>
  <c r="C38" i="6"/>
  <c r="B38" i="6"/>
  <c r="A38" i="6"/>
  <c r="Z37" i="6"/>
  <c r="V37" i="6"/>
  <c r="Q37" i="6"/>
  <c r="L37" i="6"/>
  <c r="I37" i="6"/>
  <c r="H37" i="6"/>
  <c r="G37" i="6"/>
  <c r="F37" i="6"/>
  <c r="E37" i="6"/>
  <c r="D37" i="6"/>
  <c r="C37" i="6"/>
  <c r="B37" i="6"/>
  <c r="A37" i="6"/>
  <c r="Z36" i="6"/>
  <c r="V36" i="6"/>
  <c r="L36" i="6"/>
  <c r="I36" i="6"/>
  <c r="H36" i="6"/>
  <c r="G36" i="6"/>
  <c r="F36" i="6"/>
  <c r="E36" i="6"/>
  <c r="D36" i="6"/>
  <c r="C36" i="6"/>
  <c r="B36" i="6"/>
  <c r="A36" i="6"/>
  <c r="Z35" i="6"/>
  <c r="V35" i="6"/>
  <c r="L35" i="6"/>
  <c r="I35" i="6"/>
  <c r="H35" i="6"/>
  <c r="G35" i="6"/>
  <c r="F35" i="6"/>
  <c r="E35" i="6"/>
  <c r="D35" i="6"/>
  <c r="C35" i="6"/>
  <c r="B35" i="6"/>
  <c r="A35" i="6"/>
  <c r="Z34" i="6"/>
  <c r="V34" i="6"/>
  <c r="S34" i="6"/>
  <c r="L34" i="6"/>
  <c r="I34" i="6"/>
  <c r="H34" i="6"/>
  <c r="G34" i="6"/>
  <c r="F34" i="6"/>
  <c r="E34" i="6"/>
  <c r="D34" i="6"/>
  <c r="C34" i="6"/>
  <c r="B34" i="6"/>
  <c r="A34" i="6"/>
  <c r="Z33" i="6"/>
  <c r="V33" i="6"/>
  <c r="S33" i="6"/>
  <c r="L33" i="6"/>
  <c r="I33" i="6"/>
  <c r="H33" i="6"/>
  <c r="G33" i="6"/>
  <c r="F33" i="6"/>
  <c r="E33" i="6"/>
  <c r="D33" i="6"/>
  <c r="C33" i="6"/>
  <c r="B33" i="6"/>
  <c r="A33" i="6"/>
  <c r="Z32" i="6"/>
  <c r="T32" i="6"/>
  <c r="S32" i="6"/>
  <c r="Q32" i="6"/>
  <c r="O32" i="6"/>
  <c r="L32" i="6"/>
  <c r="K32" i="6"/>
  <c r="F32" i="6"/>
  <c r="E32" i="6"/>
  <c r="D32" i="6"/>
  <c r="C32" i="6"/>
  <c r="B32" i="6"/>
  <c r="A32" i="6"/>
  <c r="Z31" i="6"/>
  <c r="S31" i="6"/>
  <c r="Q31" i="6"/>
  <c r="O31" i="6"/>
  <c r="L31" i="6"/>
  <c r="K31" i="6"/>
  <c r="F31" i="6"/>
  <c r="E31" i="6"/>
  <c r="D31" i="6"/>
  <c r="C31" i="6"/>
  <c r="B31" i="6"/>
  <c r="A31" i="6"/>
  <c r="Z30" i="6"/>
  <c r="S30" i="6"/>
  <c r="O30" i="6"/>
  <c r="L30" i="6"/>
  <c r="K30" i="6"/>
  <c r="F30" i="6"/>
  <c r="E30" i="6"/>
  <c r="D30" i="6"/>
  <c r="C30" i="6"/>
  <c r="B30" i="6"/>
  <c r="A30" i="6"/>
  <c r="Z29" i="6"/>
  <c r="S29" i="6"/>
  <c r="O29" i="6"/>
  <c r="L29" i="6"/>
  <c r="K29" i="6"/>
  <c r="F29" i="6"/>
  <c r="E29" i="6"/>
  <c r="D29" i="6"/>
  <c r="C29" i="6"/>
  <c r="B29" i="6"/>
  <c r="A29" i="6"/>
  <c r="Z28" i="6"/>
  <c r="S28" i="6"/>
  <c r="O28" i="6"/>
  <c r="L28" i="6"/>
  <c r="K28" i="6"/>
  <c r="F28" i="6"/>
  <c r="E28" i="6"/>
  <c r="D28" i="6"/>
  <c r="C28" i="6"/>
  <c r="B28" i="6"/>
  <c r="A28" i="6"/>
  <c r="Z27" i="6"/>
  <c r="O27" i="6"/>
  <c r="L27" i="6"/>
  <c r="K27" i="6"/>
  <c r="F27" i="6"/>
  <c r="E27" i="6"/>
  <c r="D27" i="6"/>
  <c r="C27" i="6"/>
  <c r="B27" i="6"/>
  <c r="A27" i="6"/>
  <c r="Z26" i="6"/>
  <c r="R26" i="6"/>
  <c r="Q26" i="6"/>
  <c r="L26" i="6"/>
  <c r="F26" i="6"/>
  <c r="E26" i="6"/>
  <c r="D26" i="6"/>
  <c r="C26" i="6"/>
  <c r="B26" i="6"/>
  <c r="A26" i="6"/>
  <c r="Z25" i="6"/>
  <c r="S25" i="6"/>
  <c r="R25" i="6"/>
  <c r="L25" i="6"/>
  <c r="F25" i="6"/>
  <c r="E25" i="6"/>
  <c r="D25" i="6"/>
  <c r="C25" i="6"/>
  <c r="B25" i="6"/>
  <c r="A25" i="6"/>
  <c r="Z24" i="6"/>
  <c r="S24" i="6"/>
  <c r="R24" i="6"/>
  <c r="Q24" i="6"/>
  <c r="L24" i="6"/>
  <c r="F24" i="6"/>
  <c r="E24" i="6"/>
  <c r="D24" i="6"/>
  <c r="C24" i="6"/>
  <c r="B24" i="6"/>
  <c r="A24" i="6"/>
  <c r="Z23" i="6"/>
  <c r="S23" i="6"/>
  <c r="R23" i="6"/>
  <c r="L23" i="6"/>
  <c r="F23" i="6"/>
  <c r="E23" i="6"/>
  <c r="D23" i="6"/>
  <c r="C23" i="6"/>
  <c r="B23" i="6"/>
  <c r="A23" i="6"/>
  <c r="Z22" i="6"/>
  <c r="R22" i="6"/>
  <c r="L22" i="6"/>
  <c r="F22" i="6"/>
  <c r="E22" i="6"/>
  <c r="D22" i="6"/>
  <c r="C22" i="6"/>
  <c r="B22" i="6"/>
  <c r="A22" i="6"/>
  <c r="Z21" i="6"/>
  <c r="R21" i="6"/>
  <c r="L21" i="6"/>
  <c r="F21" i="6"/>
  <c r="E21" i="6"/>
  <c r="D21" i="6"/>
  <c r="C21" i="6"/>
  <c r="B21" i="6"/>
  <c r="A21" i="6"/>
  <c r="Z20" i="6"/>
  <c r="V20" i="6"/>
  <c r="Q20" i="6"/>
  <c r="O20" i="6"/>
  <c r="N20" i="6"/>
  <c r="L20" i="6"/>
  <c r="I20" i="6"/>
  <c r="H20" i="6"/>
  <c r="G20" i="6"/>
  <c r="F20" i="6"/>
  <c r="E20" i="6"/>
  <c r="D20" i="6"/>
  <c r="C20" i="6"/>
  <c r="B20" i="6"/>
  <c r="A20" i="6"/>
  <c r="Z19" i="6"/>
  <c r="V19" i="6"/>
  <c r="Q19" i="6"/>
  <c r="L19" i="6"/>
  <c r="I19" i="6"/>
  <c r="H19" i="6"/>
  <c r="G19" i="6"/>
  <c r="F19" i="6"/>
  <c r="E19" i="6"/>
  <c r="D19" i="6"/>
  <c r="C19" i="6"/>
  <c r="B19" i="6"/>
  <c r="A19" i="6"/>
  <c r="Z18" i="6"/>
  <c r="V18" i="6"/>
  <c r="L18" i="6"/>
  <c r="I18" i="6"/>
  <c r="H18" i="6"/>
  <c r="G18" i="6"/>
  <c r="F18" i="6"/>
  <c r="E18" i="6"/>
  <c r="D18" i="6"/>
  <c r="C18" i="6"/>
  <c r="B18" i="6"/>
  <c r="A18" i="6"/>
  <c r="Z17" i="6"/>
  <c r="V17" i="6"/>
  <c r="L17" i="6"/>
  <c r="I17" i="6"/>
  <c r="H17" i="6"/>
  <c r="G17" i="6"/>
  <c r="F17" i="6"/>
  <c r="E17" i="6"/>
  <c r="D17" i="6"/>
  <c r="C17" i="6"/>
  <c r="B17" i="6"/>
  <c r="A17" i="6"/>
  <c r="Z16" i="6"/>
  <c r="V16" i="6"/>
  <c r="L16" i="6"/>
  <c r="I16" i="6"/>
  <c r="H16" i="6"/>
  <c r="G16" i="6"/>
  <c r="F16" i="6"/>
  <c r="E16" i="6"/>
  <c r="D16" i="6"/>
  <c r="C16" i="6"/>
  <c r="B16" i="6"/>
  <c r="A16" i="6"/>
  <c r="Z15" i="6"/>
  <c r="V15" i="6"/>
  <c r="S15" i="6"/>
  <c r="L15" i="6"/>
  <c r="I15" i="6"/>
  <c r="H15" i="6"/>
  <c r="G15" i="6"/>
  <c r="F15" i="6"/>
  <c r="E15" i="6"/>
  <c r="D15" i="6"/>
  <c r="C15" i="6"/>
  <c r="B15" i="6"/>
  <c r="A15" i="6"/>
  <c r="Z14" i="6"/>
  <c r="S14" i="6"/>
  <c r="Q14" i="6"/>
  <c r="O14" i="6"/>
  <c r="M14" i="6"/>
  <c r="L14" i="6"/>
  <c r="F14" i="6"/>
  <c r="E14" i="6"/>
  <c r="D14" i="6"/>
  <c r="C14" i="6"/>
  <c r="B14" i="6"/>
  <c r="A14" i="6"/>
  <c r="Z13" i="6"/>
  <c r="S13" i="6"/>
  <c r="Q13" i="6"/>
  <c r="O13" i="6"/>
  <c r="M13" i="6"/>
  <c r="L13" i="6"/>
  <c r="F13" i="6"/>
  <c r="E13" i="6"/>
  <c r="D13" i="6"/>
  <c r="C13" i="6"/>
  <c r="B13" i="6"/>
  <c r="A13" i="6"/>
  <c r="Z12" i="6"/>
  <c r="S12" i="6"/>
  <c r="Q12" i="6"/>
  <c r="O12" i="6"/>
  <c r="M12" i="6"/>
  <c r="L12" i="6"/>
  <c r="F12" i="6"/>
  <c r="E12" i="6"/>
  <c r="D12" i="6"/>
  <c r="C12" i="6"/>
  <c r="B12" i="6"/>
  <c r="A12" i="6"/>
  <c r="Z11" i="6"/>
  <c r="Q11" i="6"/>
  <c r="O11" i="6"/>
  <c r="M11" i="6"/>
  <c r="L11" i="6"/>
  <c r="F11" i="6"/>
  <c r="E11" i="6"/>
  <c r="D11" i="6"/>
  <c r="C11" i="6"/>
  <c r="B11" i="6"/>
  <c r="A11" i="6"/>
  <c r="Z10" i="6"/>
  <c r="S10" i="6"/>
  <c r="O10" i="6"/>
  <c r="M10" i="6"/>
  <c r="L10" i="6"/>
  <c r="F10" i="6"/>
  <c r="E10" i="6"/>
  <c r="D10" i="6"/>
  <c r="C10" i="6"/>
  <c r="B10" i="6"/>
  <c r="A10" i="6"/>
  <c r="Z9" i="6"/>
  <c r="S9" i="6"/>
  <c r="O9" i="6"/>
  <c r="M9" i="6"/>
  <c r="L9" i="6"/>
  <c r="F9" i="6"/>
  <c r="E9" i="6"/>
  <c r="D9" i="6"/>
  <c r="C9" i="6"/>
  <c r="B9" i="6"/>
  <c r="A9" i="6"/>
  <c r="Z8" i="6"/>
  <c r="U8" i="6"/>
  <c r="P8" i="6"/>
  <c r="L8" i="6"/>
  <c r="J8" i="6"/>
  <c r="H8" i="6"/>
  <c r="F8" i="6"/>
  <c r="E8" i="6"/>
  <c r="D8" i="6"/>
  <c r="C8" i="6"/>
  <c r="B8" i="6"/>
  <c r="A8" i="6"/>
  <c r="Z7" i="6"/>
  <c r="U7" i="6"/>
  <c r="P7" i="6"/>
  <c r="L7" i="6"/>
  <c r="J7" i="6"/>
  <c r="H7" i="6"/>
  <c r="F7" i="6"/>
  <c r="E7" i="6"/>
  <c r="D7" i="6"/>
  <c r="C7" i="6"/>
  <c r="B7" i="6"/>
  <c r="A7" i="6"/>
  <c r="Z6" i="6"/>
  <c r="U6" i="6"/>
  <c r="P6" i="6"/>
  <c r="L6" i="6"/>
  <c r="J6" i="6"/>
  <c r="H6" i="6"/>
  <c r="F6" i="6"/>
  <c r="E6" i="6"/>
  <c r="D6" i="6"/>
  <c r="C6" i="6"/>
  <c r="B6" i="6"/>
  <c r="A6" i="6"/>
  <c r="Z5" i="6"/>
  <c r="T5" i="6"/>
  <c r="P5" i="6"/>
  <c r="L5" i="6"/>
  <c r="J5" i="6"/>
  <c r="H5" i="6"/>
  <c r="F5" i="6"/>
  <c r="E5" i="6"/>
  <c r="D5" i="6"/>
  <c r="C5" i="6"/>
  <c r="B5" i="6"/>
  <c r="A5" i="6"/>
  <c r="Z4" i="6"/>
  <c r="P4" i="6"/>
  <c r="L4" i="6"/>
  <c r="J4" i="6"/>
  <c r="H4" i="6"/>
  <c r="F4" i="6"/>
  <c r="E4" i="6"/>
  <c r="D4" i="6"/>
  <c r="B4" i="6"/>
  <c r="A4" i="6"/>
  <c r="Z3" i="6"/>
  <c r="P3" i="6"/>
  <c r="N3" i="6"/>
  <c r="L3" i="6"/>
  <c r="J3" i="6"/>
  <c r="H3" i="6"/>
  <c r="G3" i="6"/>
  <c r="F3" i="6"/>
  <c r="E3" i="6"/>
  <c r="D3" i="6"/>
  <c r="C3" i="6"/>
  <c r="B3" i="6"/>
  <c r="A3" i="6"/>
</calcChain>
</file>

<file path=xl/sharedStrings.xml><?xml version="1.0" encoding="utf-8"?>
<sst xmlns="http://schemas.openxmlformats.org/spreadsheetml/2006/main" count="5356" uniqueCount="1419">
  <si>
    <t>Statement Number</t>
  </si>
  <si>
    <t>National Curriculum Statement</t>
  </si>
  <si>
    <t>Abbreviation</t>
  </si>
  <si>
    <t>Strand</t>
  </si>
  <si>
    <t>Description</t>
  </si>
  <si>
    <t>The Computing Curriculum Map</t>
  </si>
  <si>
    <t>NW</t>
  </si>
  <si>
    <t>Networks</t>
  </si>
  <si>
    <t>CM</t>
  </si>
  <si>
    <t>Creating Media</t>
  </si>
  <si>
    <t>DI</t>
  </si>
  <si>
    <t>Data &amp; Information</t>
  </si>
  <si>
    <t>DD</t>
  </si>
  <si>
    <t>Design &amp; Deveopment</t>
  </si>
  <si>
    <t>CS</t>
  </si>
  <si>
    <t>Computing Systems</t>
  </si>
  <si>
    <t>IT</t>
  </si>
  <si>
    <t>Impact of Technology</t>
  </si>
  <si>
    <t>AL</t>
  </si>
  <si>
    <t>Algorithms</t>
  </si>
  <si>
    <t>PG</t>
  </si>
  <si>
    <t>Programming</t>
  </si>
  <si>
    <t>ET</t>
  </si>
  <si>
    <t>Effective Use of tools</t>
  </si>
  <si>
    <t>Use software tools to support computing work</t>
  </si>
  <si>
    <t>SS</t>
  </si>
  <si>
    <t>Safety &amp; Security</t>
  </si>
  <si>
    <t>design, write and debug programs that accomplish specific goals, including controlling or simulating physical systems; solve problems by decomposing them into smaller parts</t>
  </si>
  <si>
    <t>Understand how networks can be used to retrieve and share information, and how they come with associated risks</t>
  </si>
  <si>
    <r>
      <rPr>
        <sz val="12"/>
        <rFont val="Roboto"/>
      </rPr>
      <t xml:space="preserve">Welcome to the </t>
    </r>
    <r>
      <rPr>
        <b/>
        <sz val="12"/>
        <rFont val="Roboto"/>
      </rPr>
      <t>The Computing Curriculum</t>
    </r>
    <r>
      <rPr>
        <sz val="12"/>
        <rFont val="Roboto"/>
      </rPr>
      <t xml:space="preserve"> Map. This document provides an overview of the units and lessons designed for students aged 7 to 11 (key stage 2). Additional mapping documents are available for teaching students of other ages at </t>
    </r>
    <r>
      <rPr>
        <u/>
        <sz val="12"/>
        <color rgb="FF1155CC"/>
        <rFont val="Roboto"/>
      </rPr>
      <t>the-cc.io</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</si>
  <si>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use sequence, selection, and repetition in programs; work with variables and various forms of input and output</t>
  </si>
  <si>
    <t>Select and create a range of media including text, images, sounds, and video</t>
  </si>
  <si>
    <t>use logical reasoning to explain how some simple algorithms work and to detect and correct errors in algorithms and programs</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</si>
  <si>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</si>
  <si>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</si>
  <si>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Understand the activities involved in planning, creating, and evaluating computing artefacts</t>
  </si>
  <si>
    <t>use search technologies effectively, appreciate how results are selected and ranked, and be discerning in evaluating digital content</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</si>
  <si>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</si>
  <si>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</si>
  <si>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Understand how individuals, systems, and society as a whole interact with computer systems</t>
  </si>
  <si>
    <t>use technology safely, respectfully and responsibly; recognise acceptable/unacceptable behaviour; identify a range of ways to report concerns about content and contact.</t>
  </si>
  <si>
    <t>Be able to comprehend, design, create, and evaluate algorithms</t>
  </si>
  <si>
    <t>Create software to allow computers to solve problems</t>
  </si>
  <si>
    <t>Understand risks when using technology, and how to protect individuals and systems</t>
  </si>
  <si>
    <t>Computing systems</t>
  </si>
  <si>
    <t>National Curriculum Links</t>
  </si>
  <si>
    <t>Year
Group</t>
  </si>
  <si>
    <t>Suggested Order</t>
  </si>
  <si>
    <t>Unit Name</t>
  </si>
  <si>
    <t>Lesson</t>
  </si>
  <si>
    <t>Learning Objectives</t>
  </si>
  <si>
    <t>Success Criteria</t>
  </si>
  <si>
    <t>Cross Curricular Links</t>
  </si>
  <si>
    <t>Education for a Connected World</t>
  </si>
  <si>
    <t>- Copyright and ownership
- Health, well-being and lifestyle</t>
  </si>
  <si>
    <t>- Copyright and ownership</t>
  </si>
  <si>
    <t>- Privacy and security</t>
  </si>
  <si>
    <t>- Health, well-being and lifestyle</t>
  </si>
  <si>
    <t>- Self-image and identity</t>
  </si>
  <si>
    <t>Fbinary</t>
  </si>
  <si>
    <t>- Copyright and ownership
- Managing online information</t>
  </si>
  <si>
    <t>- Copyright and ownership
- Self-image and identity</t>
  </si>
  <si>
    <t>- Managing online information
- Online relationships
- Online reputation
- Self-image and identity</t>
  </si>
  <si>
    <t>- Managing online information
- Online reputation</t>
  </si>
  <si>
    <t>- Copyright and ownership
- Online relationships</t>
  </si>
  <si>
    <t>- Online bullying
- Online relationships
- Privacy and security</t>
  </si>
  <si>
    <t>- Managing online information
- Online bullying
- Online relationships
- Online reputation
- Privacy and security
- Self-image and identity</t>
  </si>
  <si>
    <t>Computer systems</t>
  </si>
  <si>
    <t>- Copyright and ownership
- Privacy and security</t>
  </si>
  <si>
    <t>Cyber security</t>
  </si>
  <si>
    <t>Impacts of technology</t>
  </si>
  <si>
    <t>Databases and SQL</t>
  </si>
  <si>
    <t>HTML</t>
  </si>
  <si>
    <t>Object-oriented programming</t>
  </si>
  <si>
    <t>Cybersecurity</t>
  </si>
  <si>
    <t>level</t>
  </si>
  <si>
    <t>year_number</t>
  </si>
  <si>
    <t>title</t>
  </si>
  <si>
    <t>lesson_no</t>
  </si>
  <si>
    <t>description</t>
  </si>
  <si>
    <t>string_agg</t>
  </si>
  <si>
    <t>Computing systems and networks – Technology around us</t>
  </si>
  <si>
    <t>To identify technology</t>
  </si>
  <si>
    <t>- I can explain how these technology examples help us
- I can explain technology as something that helps us
- I can locate examples of technology in the classroom</t>
  </si>
  <si>
    <t>1.4,1.5,1.6</t>
  </si>
  <si>
    <t>CS,IT</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</si>
  <si>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</si>
  <si>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</si>
  <si>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</si>
  <si>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</si>
  <si>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CS,ET</t>
  </si>
  <si>
    <t>To use a keyboard to type on a computer</t>
  </si>
  <si>
    <t>- I can save my work to a file
- I can say what a keyboard is for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</si>
  <si>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</si>
  <si>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</si>
  <si>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</si>
  <si>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</si>
  <si>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CS,ET,SS</t>
  </si>
  <si>
    <t>Creating media – Digital painting</t>
  </si>
  <si>
    <t>To describe what different freehand tools do</t>
  </si>
  <si>
    <t>- I can draw lines on a screen and explain which tools I used
- I can make marks on a screen and explain which tools I used
- I can use the paint tools to draw a picture</t>
  </si>
  <si>
    <t>CM,ET</t>
  </si>
  <si>
    <t>-</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</si>
  <si>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</si>
  <si>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</si>
  <si>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</si>
  <si>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</si>
  <si>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</si>
  <si>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</si>
  <si>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CM,DD,ET</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</si>
  <si>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</si>
  <si>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</si>
  <si>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</si>
  <si>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</si>
  <si>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Creating media – Digital writing</t>
  </si>
  <si>
    <t>To use a computer to write</t>
  </si>
  <si>
    <t>- I can identify and find keys on a keyboard
- I can open a word processor
- I can recognise keys on a keyboard</t>
  </si>
  <si>
    <t>1.4,1.6</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</si>
  <si>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</si>
  <si>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</si>
  <si>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</si>
  <si>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</si>
  <si>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</si>
  <si>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all of the text by clicking and dragging
- I can select a word by double-clicking</t>
  </si>
  <si>
    <t>To explain why I used the tools that I chose</t>
  </si>
  <si>
    <t>- I can decide if my changes have improved my writing
- I can say what tool I used to change the text
- I can use ‘undo’ to remove changes</t>
  </si>
  <si>
    <t>To compare typing on a computer to writing on paper</t>
  </si>
  <si>
    <t>- I can explain the differences between typing and writing
- I can make changes to text on a computer
- I can say why I prefer typing or writing</t>
  </si>
  <si>
    <t>Data and information – Grouping data</t>
  </si>
  <si>
    <t>To label objects</t>
  </si>
  <si>
    <t>- I can describe objects using labels
- I can identify the label for a group of objects
- I can match objects to groups</t>
  </si>
  <si>
    <t>To identify that objects can be counted</t>
  </si>
  <si>
    <t>- I can count a group of objects
- I can count objects
- I can group objects</t>
  </si>
  <si>
    <t>To describe objects in different ways</t>
  </si>
  <si>
    <t>- I can describe an object
- I can describe a property of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</si>
  <si>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</si>
  <si>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</si>
  <si>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</si>
  <si>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</si>
  <si>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</si>
  <si>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</si>
  <si>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Programming A – Moving a robot</t>
  </si>
  <si>
    <t>To explain what a given command will do</t>
  </si>
  <si>
    <t>- I can match a command to an outcome
- I can predict the outcome of a command on a device
- I can run a command on a device</t>
  </si>
  <si>
    <t>1.1,1.2,1.3,1.5</t>
  </si>
  <si>
    <t>To act out a given word</t>
  </si>
  <si>
    <t>- I can follow an instruction
- I can give directions
- I can recall words that can be acted out</t>
  </si>
  <si>
    <t>AL,IT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</si>
  <si>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</si>
  <si>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</si>
  <si>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</si>
  <si>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</si>
  <si>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</si>
  <si>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</si>
  <si>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AL,DD</t>
  </si>
  <si>
    <t>To find more than one solution to a problem</t>
  </si>
  <si>
    <t>- I can identify several possible solutions
- I can plan two programs
- I can use two different programs to get to the same place</t>
  </si>
  <si>
    <t>Programming B – Introduction to animation</t>
  </si>
  <si>
    <t>To choose a command for a given purpose</t>
  </si>
  <si>
    <t>- I can compare different programming tools
- I can find which commands to move a sprite
- I can use commands to move a sprite</t>
  </si>
  <si>
    <t>1.1,1.2,1.3,1.4</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</si>
  <si>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</si>
  <si>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</si>
  <si>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</si>
  <si>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that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</si>
  <si>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</si>
  <si>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</si>
  <si>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</si>
  <si>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</si>
  <si>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DD,PG</t>
  </si>
  <si>
    <t>To use my algorithm to create a program</t>
  </si>
  <si>
    <t>- I can add programming blocks based on my algorithm
- I can test the programs I have created
- I can use sprites that match my design</t>
  </si>
  <si>
    <t>AL,DD,PG</t>
  </si>
  <si>
    <t>Computing systems and networks – IT around us</t>
  </si>
  <si>
    <t>To recognise the uses and features of information technology</t>
  </si>
  <si>
    <t>- I can describe some uses of computers
- I can identify examples of computers
- I can identify that a computer is a part of IT</t>
  </si>
  <si>
    <t>CS,NW,SS</t>
  </si>
  <si>
    <t>To identify the uses of information technology in the school</t>
  </si>
  <si>
    <t>- I can identify examples of IT
- I can identify that some IT can be used in more than one way
- I can sort school IT by what it’s used for</t>
  </si>
  <si>
    <t>CS,IT,NW</t>
  </si>
  <si>
    <t>To identify information technology beyond school</t>
  </si>
  <si>
    <t>- I can find examples of information technology
- I can sort IT by where it is found
- I can talk about uses of information technology</t>
  </si>
  <si>
    <t>To explain how information technology helps us</t>
  </si>
  <si>
    <t>- I can demonstrate how IT devices work together
- I can recognise common types of technology
- I can say why we use IT</t>
  </si>
  <si>
    <t>To explain how to use information technology safely</t>
  </si>
  <si>
    <t>- I can list different uses of information technology
- I can say how rules can help keep me safe
- I can talk about different rules for using IT</t>
  </si>
  <si>
    <t>To recognise that choices are made when using information technology</t>
  </si>
  <si>
    <t>- I can explain the need to use IT in different ways
- I can identify the choices that I make when using IT
- I can use IT for different types of activities</t>
  </si>
  <si>
    <t>CS,IT,NW,SS</t>
  </si>
  <si>
    <t>Creating media – Digital photography</t>
  </si>
  <si>
    <t>To use a digital device to take a photograph</t>
  </si>
  <si>
    <t>- I can explain what I did to capture a digital photo
- I can recognise what devices can be used to take photographs
- I can talk about how to take a photograph</t>
  </si>
  <si>
    <t>CM,CS</t>
  </si>
  <si>
    <t>To make choices when taking a photograph</t>
  </si>
  <si>
    <t>- I can explain the process of taking a good photograph
- I can explain why a photo looks better in portrait or landscape format
- I can take photos in both landscape and portrait format</t>
  </si>
  <si>
    <t>CM,CS,ET</t>
  </si>
  <si>
    <t>To describe what makes a good photograph</t>
  </si>
  <si>
    <t>- I can discuss how to take a good photograph
- I can identify what is wrong with a photograph
- I can improve a photograph by retaking it</t>
  </si>
  <si>
    <t>CM,DD</t>
  </si>
  <si>
    <t>To decide how photographs can be improved</t>
  </si>
  <si>
    <t>- I can experiment with different light sources
- I can explain why a picture may be unclear
- I can explore the effect that light has on a photo</t>
  </si>
  <si>
    <t>To use tools to change an image</t>
  </si>
  <si>
    <t>- I can explain my choices
- I can recognise that images can be changed
- I can use a tool to achieve a desired effect</t>
  </si>
  <si>
    <t>To recognise that photos can be changed</t>
  </si>
  <si>
    <t>- I can apply a range of photography skills to capture a photo
- I can identify which photos are real and which have been changed
- I can recognise which photos have been changed</t>
  </si>
  <si>
    <t>Creating media – Making music</t>
  </si>
  <si>
    <t>To say how music can make us feel</t>
  </si>
  <si>
    <t>- I can describe how music makes me feel, e.g. happy or sad
- I can identify simple differences in pieces of music
- I can listen with concentration to a range of music (links to the Music curriculum)</t>
  </si>
  <si>
    <t>To identify that there are patterns in music</t>
  </si>
  <si>
    <t>- I can create a rhythm pattern
- I can explain that music is created and played by humans
- I can play an instrument following a rhythm pattern</t>
  </si>
  <si>
    <t>To show how music is made from a series of notes</t>
  </si>
  <si>
    <t>- I can identify that music is a sequence of notes
- I can refine my musical pattern on a computer
- I can use a computer to create a musical pattern using three notes</t>
  </si>
  <si>
    <t>CM,DI</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</si>
  <si>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</si>
  <si>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</si>
  <si>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</si>
  <si>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</si>
  <si>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Data and information – Pictograms</t>
  </si>
  <si>
    <t>To recognise that we can count and compare objects using tally charts</t>
  </si>
  <si>
    <t>- I can compare totals in a tally chart
- I can record data in a tally chart
- I can represent a tally count as a total</t>
  </si>
  <si>
    <t>- Health, well-being and lifestyle
- Privacy and security
- Self-image and identity</t>
  </si>
  <si>
    <t>To recognise that objects can be represented as pictures</t>
  </si>
  <si>
    <t>- I can enter data onto a computer
- I can use a computer to view data in a different format
- I can use pictograms to answer simple questions about objects</t>
  </si>
  <si>
    <t>DI,ET</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</si>
  <si>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</si>
  <si>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</si>
  <si>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</si>
  <si>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</si>
  <si>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</si>
  <si>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</si>
  <si>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</si>
  <si>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</si>
  <si>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DI,ET,SS</t>
  </si>
  <si>
    <t>Programming A – 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</si>
  <si>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</si>
  <si>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</si>
  <si>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</si>
  <si>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</si>
  <si>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</si>
  <si>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</si>
  <si>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AL,PG</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</si>
  <si>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</si>
  <si>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</si>
  <si>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</si>
  <si>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</si>
  <si>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</si>
  <si>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</si>
  <si>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Programming B – An introduction to quizzes</t>
  </si>
  <si>
    <t>To explain that a sequence of commands has a start</t>
  </si>
  <si>
    <t>- I can identify that a program needs to be started
- I can identify the start of a sequence
- I can show how to run my program</t>
  </si>
  <si>
    <t>1.1,1.2,1.3</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</si>
  <si>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</si>
  <si>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</si>
  <si>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</si>
  <si>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work out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</si>
  <si>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</si>
  <si>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</si>
  <si>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</si>
  <si>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</si>
  <si>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</si>
  <si>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my program
- I can improve my project by adding features</t>
  </si>
  <si>
    <t>Computing systems and networks – Connecting computers</t>
  </si>
  <si>
    <t>To explain how digital devices function</t>
  </si>
  <si>
    <t>- I can explain that digital devices accept inputs
- I can explain that digital devices produce outputs
- I can follow a process</t>
  </si>
  <si>
    <t>2.2,2.4,2.6</t>
  </si>
  <si>
    <t>To identify input and output devices</t>
  </si>
  <si>
    <t>- I can classify input and output devices
- I can describe a simple process
- I can design a digital device</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</si>
  <si>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</si>
  <si>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</si>
  <si>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</si>
  <si>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</si>
  <si>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CS,NW</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</si>
  <si>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</si>
  <si>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</si>
  <si>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</si>
  <si>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together
- I can identify networked devices around me
- I can identify the benefits of computer networks</t>
  </si>
  <si>
    <t>Creating media – Animation</t>
  </si>
  <si>
    <t>To explain that animation is a sequence of drawings or photographs</t>
  </si>
  <si>
    <t>- I can create an effective flip book—style animation
- I can draw a sequence of pictures
- I can explain how an animation/flip book works</t>
  </si>
  <si>
    <t>2.6,2.7</t>
  </si>
  <si>
    <t>To relate animated movement with a sequence of images</t>
  </si>
  <si>
    <t>- I can create an effective stop-frame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</si>
  <si>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</si>
  <si>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</si>
  <si>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</si>
  <si>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</si>
  <si>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</si>
  <si>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</si>
  <si>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</si>
  <si>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</si>
  <si>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Creating media – 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</si>
  <si>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</si>
  <si>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</si>
  <si>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2.5,2.6</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</si>
  <si>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</si>
  <si>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</si>
  <si>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</si>
  <si>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</si>
  <si>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</si>
  <si>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</si>
  <si>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</si>
  <si>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</si>
  <si>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</si>
  <si>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</si>
  <si>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CM,DD,ET,IT</t>
  </si>
  <si>
    <t>Data and information – 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</si>
  <si>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</si>
  <si>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</si>
  <si>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</si>
  <si>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 into groups</t>
  </si>
  <si>
    <t>To create a branching database</t>
  </si>
  <si>
    <t>- I can group objects using my own yes/no questions
- I can prove my branching database works
- I can select objects to arrange in a branching database</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</si>
  <si>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</si>
  <si>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</si>
  <si>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DD,DI,ET</t>
  </si>
  <si>
    <t>To identify objects using a branching database</t>
  </si>
  <si>
    <t>- I can create questions and apply them to a tree structure
- I can select a theme and choose a variety of objects
- I can use my branching database to answer questions</t>
  </si>
  <si>
    <t>To compare the information shown in a pictogram with a branching database</t>
  </si>
  <si>
    <t>- I can compare two ways of presenting information
- I can explain what a branching database tells me
- I can explain what a pictogram tells me</t>
  </si>
  <si>
    <t>DD,DI</t>
  </si>
  <si>
    <t>Programming A – 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</si>
  <si>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</si>
  <si>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</si>
  <si>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2.1,2.2,2.3,2.6</t>
  </si>
  <si>
    <t>ET,PG</t>
  </si>
  <si>
    <t>To identify that commands have an outcome</t>
  </si>
  <si>
    <t>- I can choose a word which describes an on-screen action for my plan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</si>
  <si>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</si>
  <si>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</si>
  <si>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</si>
  <si>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</si>
  <si>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</si>
  <si>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</si>
  <si>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</si>
  <si>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</si>
  <si>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AL,CM,DD,PG</t>
  </si>
  <si>
    <t>Programming B – 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</si>
  <si>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</si>
  <si>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</si>
  <si>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</si>
  <si>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</si>
  <si>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</si>
  <si>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</si>
  <si>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</si>
  <si>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</si>
  <si>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</si>
  <si>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</si>
  <si>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</si>
  <si>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</si>
  <si>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Computing systems and networks – The Internet</t>
  </si>
  <si>
    <t>To describe how networks physically connect to other networks</t>
  </si>
  <si>
    <t>- I can demonstrate how information is shared across the internet
- I can describe the internet as a network of networks
- I can discuss why a network needs protecting</t>
  </si>
  <si>
    <t>2.4,2.5,2.6,2.7</t>
  </si>
  <si>
    <t>NW,SS</t>
  </si>
  <si>
    <t>- Managing online information</t>
  </si>
  <si>
    <t>To recognise how networked devices make up the internet</t>
  </si>
  <si>
    <t>- I can describe networked devices and how they connect
- I can explain that the internet is used to provide many services
- I can recognise that the World Wide Web contains websites and web pages</t>
  </si>
  <si>
    <t>To outline how websites can be shared via the World Wide Web (WWW)</t>
  </si>
  <si>
    <t>- I can describe how to access websites on the WWW
- I can describe where websites are stored when uploaded to the WWW
- I can explain the types of media that can be shared on the WWW</t>
  </si>
  <si>
    <t>To describe how content can be added and accessed on the World Wide Web (WWW)</t>
  </si>
  <si>
    <t>- I can explain that internet services can be used to create content online
- I can explain what media can be found on websites
- I can recognise that I can add content to the WWW</t>
  </si>
  <si>
    <t>CM,NW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</si>
  <si>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</si>
  <si>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</si>
  <si>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</si>
  <si>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</si>
  <si>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IT,NW,SS</t>
  </si>
  <si>
    <t>Creating media – 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</si>
  <si>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</si>
  <si>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</si>
  <si>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2.5,2.6,2.7</t>
  </si>
  <si>
    <t>CS,DI</t>
  </si>
  <si>
    <t>To use a digital device to record sound</t>
  </si>
  <si>
    <t>- I can discuss what other people include when recording sound for a podcast
- I can suggest how to improve my recording
- I can use a device to record audio and play back sound</t>
  </si>
  <si>
    <t>CM,CS,DD,ET</t>
  </si>
  <si>
    <t>To explain that a digital recording is stored as a file</t>
  </si>
  <si>
    <t>- I can discuss why it is useful to be able to save digital recordings
- I can plan and write the content for a podcast
- I can save a digital recording as a file</t>
  </si>
  <si>
    <t>CM,DD,DI,ET</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</si>
  <si>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</si>
  <si>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</si>
  <si>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</si>
  <si>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</si>
  <si>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</si>
  <si>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</si>
  <si>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Creating media – Photo editing</t>
  </si>
  <si>
    <t>To explain that digital images can be changed</t>
  </si>
  <si>
    <t>- I can explain the effect that editing can have on an image
- I can explore how images can be changed in real life
- I can identify changes that we can make to an image</t>
  </si>
  <si>
    <t>To change the composition of an image</t>
  </si>
  <si>
    <t>- I can change the composition of an image by selecting parts of it
- I can consider why someone might want to change the composition of an image
- I can explain what has changed in an edited image</t>
  </si>
  <si>
    <t>CM,ET,IT</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</si>
  <si>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</si>
  <si>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</si>
  <si>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</si>
  <si>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</si>
  <si>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</si>
  <si>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</si>
  <si>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CM,ET,SS</t>
  </si>
  <si>
    <t>To evaluate how changes can improve an image</t>
  </si>
  <si>
    <t>- I can compare the original image with my completed publication
- I can consider the effect of adding other elements to my work
- I can evaluate the impact of my publication on others through feedback</t>
  </si>
  <si>
    <t>Data and information – 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</si>
  <si>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</si>
  <si>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</si>
  <si>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2.2,2.6</t>
  </si>
  <si>
    <t>To use a digital device to collect data automatically</t>
  </si>
  <si>
    <t>- I can explain that sensors are input devices
- I can identify that data from sensors can be recorded
- I can use data from a sensor to answer a given question</t>
  </si>
  <si>
    <t>CS,DI,ET</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</si>
  <si>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</si>
  <si>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</si>
  <si>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</si>
  <si>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</si>
  <si>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</si>
  <si>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</si>
  <si>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</si>
  <si>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</si>
  <si>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Programming A – Repetition in shapes</t>
  </si>
  <si>
    <t>To identify that accuracy in programming is important</t>
  </si>
  <si>
    <t>- I can create a code snippet for a given purpose
- I can explain the effect of changing a value of a command
- I can program a computer by typing commands</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</si>
  <si>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</si>
  <si>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</si>
  <si>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</si>
  <si>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</si>
  <si>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</si>
  <si>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</si>
  <si>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task into small steps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</si>
  <si>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</si>
  <si>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</si>
  <si>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</si>
  <si>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Programming B – 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</si>
  <si>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</si>
  <si>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</si>
  <si>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2.1,2.2,2.3</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</si>
  <si>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</si>
  <si>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</si>
  <si>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</si>
  <si>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</si>
  <si>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</si>
  <si>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</si>
  <si>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</si>
  <si>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</si>
  <si>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</si>
  <si>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</si>
  <si>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Computing systems and networks – 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</si>
  <si>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</si>
  <si>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</si>
  <si>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2.1,2.2,2.4,2.6,2.7</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</si>
  <si>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</si>
  <si>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</si>
  <si>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</si>
  <si>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</si>
  <si>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</si>
  <si>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</si>
  <si>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IT,NW</t>
  </si>
  <si>
    <t>To contribute to a shared project online</t>
  </si>
  <si>
    <t>- I can compare working online with working offline
- I can make thoughtful suggestions on my group’s work
- I can suggest strategies to ensure successful group work</t>
  </si>
  <si>
    <t>ET,NW</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</si>
  <si>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</si>
  <si>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</si>
  <si>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DD,ET,NW</t>
  </si>
  <si>
    <t>Creating media – 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</si>
  <si>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</si>
  <si>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</si>
  <si>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CM,DI,ET</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</si>
  <si>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</si>
  <si>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</si>
  <si>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</si>
  <si>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</si>
  <si>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</si>
  <si>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</si>
  <si>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</si>
  <si>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</si>
  <si>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</si>
  <si>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</si>
  <si>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Creating media – Video editing</t>
  </si>
  <si>
    <t>To explain what makes a video effective</t>
  </si>
  <si>
    <t>- I can compare features in different videos
- I can explain that video is a visual media format
- I can identify features of videos</t>
  </si>
  <si>
    <t>To identify digital devices that can record video</t>
  </si>
  <si>
    <t>- I can experiment with different camera angles
- I can identify and find features on a digital video recording device
- I can make use of a microphone</t>
  </si>
  <si>
    <t>To capture video using a range of techniques</t>
  </si>
  <si>
    <t>- I can capture video using a range of filming techniques
- I can review how effective my video is
- I can suggest filming techniques for a given purpose</t>
  </si>
  <si>
    <t>CM,SS</t>
  </si>
  <si>
    <t>To create a storyboard</t>
  </si>
  <si>
    <t>- I can create and save video content
- I can decide which filming techniques I will use
- I can outline the scenes of my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</si>
  <si>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</si>
  <si>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</si>
  <si>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</si>
  <si>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</si>
  <si>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Data and information – 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</si>
  <si>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</si>
  <si>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</si>
  <si>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</si>
  <si>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</si>
  <si>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</si>
  <si>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</si>
  <si>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</si>
  <si>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</si>
  <si>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</si>
  <si>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</si>
  <si>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</si>
  <si>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</si>
  <si>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Programming A – Selection in physical computing</t>
  </si>
  <si>
    <t>To control a simple circuit connected to a computer</t>
  </si>
  <si>
    <t>- I can create a simple circuit and connect it to a microcontroller
- I can explain what an infinite loop does
- I can program a microcontroller to make an LED switch on</t>
  </si>
  <si>
    <t>CS,PG</t>
  </si>
  <si>
    <t>To write a program that includes count-controlled loops</t>
  </si>
  <si>
    <t>- I can connect more than one output component to a microcontroller
- I can design sequences that use count-controlled loops
- I can use a count-controlled loop to control outputs</t>
  </si>
  <si>
    <t>To explain that a loop can stop when a condition is met</t>
  </si>
  <si>
    <t>- I can design a conditional loop
- I can explain that a condition is either true or  
- I can program a microcontroller to respond to an input</t>
  </si>
  <si>
    <t>To explain that a loop can be used to repeatedly check whether a condition has been met</t>
  </si>
  <si>
    <t>- I can explain that a condition being met can start an action
- I can identify a condition and an action in my project
- I can use selection (an ‘if…then…’ statement) to direct the flow of a program</t>
  </si>
  <si>
    <t>To design a physical project that includes selection</t>
  </si>
  <si>
    <t>- I can create a detailed drawing of my project
- I can describe what my project will do
- I can identify a real-world example of a condition starting an action</t>
  </si>
  <si>
    <t>CS,DD,PG</t>
  </si>
  <si>
    <t>To create a program that controls a physical computing project</t>
  </si>
  <si>
    <t>- I can test and debug my project
- I can use selection to produce an intended outcome
- I can write an algorithm that describes what my model will do</t>
  </si>
  <si>
    <t>Programming B – 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</si>
  <si>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</si>
  <si>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</si>
  <si>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</si>
  <si>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 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</si>
  <si>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</si>
  <si>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</si>
  <si>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</si>
  <si>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</si>
  <si>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</si>
  <si>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</si>
  <si>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</si>
  <si>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the setup code I need in my program
- I can identify ways the program could be improved</t>
  </si>
  <si>
    <t>Computing systems and networks – Communication</t>
  </si>
  <si>
    <t>To identify how to use a search engine</t>
  </si>
  <si>
    <t>- I can compare results from different search engines
- I can complete a web search to find specific information
- I can refine my search</t>
  </si>
  <si>
    <t>2.1,2.4,2.5,2.6,2.7</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</si>
  <si>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</si>
  <si>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</si>
  <si>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</si>
  <si>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</si>
  <si>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</si>
  <si>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</si>
  <si>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ET,IT,NW</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</si>
  <si>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</si>
  <si>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</si>
  <si>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</si>
  <si>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</si>
  <si>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Creating media – 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</si>
  <si>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</si>
  <si>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</si>
  <si>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</si>
  <si>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</si>
  <si>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</si>
  <si>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</si>
  <si>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</si>
  <si>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</si>
  <si>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</si>
  <si>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</si>
  <si>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</si>
  <si>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</si>
  <si>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Creating media – Web page creation</t>
  </si>
  <si>
    <t>To review an existing website and consider its structure</t>
  </si>
  <si>
    <t>- I can discuss the different types of media used on websites
- I can explore a website
- I know that websites are written in HTML</t>
  </si>
  <si>
    <t>CM,DD,NW</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</si>
  <si>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</si>
  <si>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</si>
  <si>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</si>
  <si>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</si>
  <si>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CM,DD,SS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</si>
  <si>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</si>
  <si>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</si>
  <si>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</si>
  <si>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</si>
  <si>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CM,DD,ET,NW</t>
  </si>
  <si>
    <t>To recognise the implications of linking to content owned by other people</t>
  </si>
  <si>
    <t>- I can create hyperlinks to link to other people's work
- I can evaluate the user experience of a website
- I can explain the implication of linking to content owned by others</t>
  </si>
  <si>
    <t>CM,DD,ET,IT,NW</t>
  </si>
  <si>
    <t>Data and information –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</si>
  <si>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</si>
  <si>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</si>
  <si>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</si>
  <si>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</si>
  <si>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formulas can be used to produce calculated data</t>
  </si>
  <si>
    <t>- I can construct a formula in a spreadsheet
- I can explain the relevance of a cell’s data type
- I can identify that changing inputs changes outputs</t>
  </si>
  <si>
    <t>DI,ET,PG</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</si>
  <si>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</si>
  <si>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</si>
  <si>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</si>
  <si>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</si>
  <si>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</si>
  <si>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</si>
  <si>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Programming A – Variables in games</t>
  </si>
  <si>
    <t>To define a ‘variable’ as something that is changeable</t>
  </si>
  <si>
    <t>- I can explain that the way that a variable changes can be defined
- I can identify examples of information that is variable
- I can identify that variables can hold numbers or letters</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</si>
  <si>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</si>
  <si>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</si>
  <si>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</si>
  <si>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</si>
  <si>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</si>
  <si>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</si>
  <si>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</si>
  <si>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</si>
  <si>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</si>
  <si>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</si>
  <si>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Programming B – 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</si>
  <si>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</si>
  <si>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</si>
  <si>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</si>
  <si>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</si>
  <si>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</si>
  <si>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</si>
  <si>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</si>
  <si>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</si>
  <si>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</si>
  <si>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</si>
  <si>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</si>
  <si>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</si>
  <si>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Impact of technology – Collaborating online respectfully</t>
  </si>
  <si>
    <t>- Create a memorable and secure password for an account on the school network</t>
  </si>
  <si>
    <t>3.8,3.9</t>
  </si>
  <si>
    <t>ET,SS</t>
  </si>
  <si>
    <t>- Remember the rules of the computing lab</t>
  </si>
  <si>
    <t>- Find personal documents and common applications</t>
  </si>
  <si>
    <t>- Recognise a respectful email</t>
  </si>
  <si>
    <t>- Construct an effective email and send it to the correct recipients</t>
  </si>
  <si>
    <t>- Describe how to communicate with peers online</t>
  </si>
  <si>
    <t>- Plan effective presentations for a given audience</t>
  </si>
  <si>
    <t>- Describe cyberbullying</t>
  </si>
  <si>
    <t>IT,SS</t>
  </si>
  <si>
    <t>- Explain the effects of cyberbullying</t>
  </si>
  <si>
    <t>- Check who you are talking to online</t>
  </si>
  <si>
    <t>Modelling data – Spreadsheets</t>
  </si>
  <si>
    <t>- Identify columns, rows, cells, and cell references in spreadsheet software</t>
  </si>
  <si>
    <t>3.1,3.7</t>
  </si>
  <si>
    <t>- Use formatting techniques in a spreadsheet</t>
  </si>
  <si>
    <t>- Use basic formulas with cell references to perform calculations in a spreadsheet (+, -, *, /)</t>
  </si>
  <si>
    <t>- Use the autofill tool to replicate cell data</t>
  </si>
  <si>
    <t>- Explain the difference between data and information</t>
  </si>
  <si>
    <t>- Explain the difference between primary and secondary sources of data</t>
  </si>
  <si>
    <t>- Collect data</t>
  </si>
  <si>
    <t>- Analyse data</t>
  </si>
  <si>
    <t>- Create appropriate charts in a spreadsheet</t>
  </si>
  <si>
    <t>- Use the functions SUM, COUNTA, MAX, and MIN in a spreadsheet</t>
  </si>
  <si>
    <t>- Use a spreadsheet to sort and filter data</t>
  </si>
  <si>
    <t>- Use the functions AVERAGE, COUNTIF, and IF in a spreadsheet</t>
  </si>
  <si>
    <t>- Use conditional formatting in a spreadsheet</t>
  </si>
  <si>
    <t>- Apply all of the spreadsheet skills covered in this unit</t>
  </si>
  <si>
    <t>Networks from semaphores to the Internet</t>
  </si>
  <si>
    <t>- Define what a computer network is and explain how data is transmitted between computers across networks</t>
  </si>
  <si>
    <t>- Define ‘protocol’ and provide examples of non-networking protocols</t>
  </si>
  <si>
    <t>- List examples of the hardware necessary for connecting devices to networks</t>
  </si>
  <si>
    <t>- Compare wired to wireless connections and list examples of specific technologies currently used to implement such connections</t>
  </si>
  <si>
    <t>- Define ‘bandwidth’, using the appropriate units for measuring the rate at which data is transmitted, and discuss familiar examples where bandwidth is important</t>
  </si>
  <si>
    <t>- Define what the internet is</t>
  </si>
  <si>
    <t>- Explain how data travels between computers across the internet</t>
  </si>
  <si>
    <t>- Describe key words such as ‘protocols’, ‘packets’, and ‘addressing’</t>
  </si>
  <si>
    <t>- Explain the difference between the internet, its services, and the World Wide Web</t>
  </si>
  <si>
    <t>- Describe how services are provided over the internet</t>
  </si>
  <si>
    <t>- List some of these services and the context in which they are used</t>
  </si>
  <si>
    <t>- Explain the term ‘connectivity’ as the capacity for connected devices (‘Internet of Things’) to collect and share information about me with or without my knowledge (including microphones, cameras, and geolocation)</t>
  </si>
  <si>
    <t>- Describe how internet-connected devices can affect me</t>
  </si>
  <si>
    <t>- Describe components (servers, browsers, pages, HTTP and HTTPS protocols, etc.) and how they work together</t>
  </si>
  <si>
    <t>Programming essentials in Scratch – part I</t>
  </si>
  <si>
    <t>- Compare how humans and computers understand instructions (understand and carry out)</t>
  </si>
  <si>
    <t>3.2,3.3,3.4,3.8</t>
  </si>
  <si>
    <t>- Define a sequence as instructions performed in order, with each executed in turn</t>
  </si>
  <si>
    <t>- Predict the outcome of a simple sequence</t>
  </si>
  <si>
    <t>- Modify a sequence</t>
  </si>
  <si>
    <t>- Define a variable as a name that refers to data being stored by the computer</t>
  </si>
  <si>
    <t>- Recognise that computers follow the control flow of input/process/output</t>
  </si>
  <si>
    <t>- Predict the outcome of a simple sequence that includes variables</t>
  </si>
  <si>
    <t>- Trace the values of variables within a sequence</t>
  </si>
  <si>
    <t>- Make a sequence that includes a variable</t>
  </si>
  <si>
    <t>- Define a condition as an expression that will be evaluated as either true or false</t>
  </si>
  <si>
    <t>- Identify that selection uses conditions to control the flow of a sequence</t>
  </si>
  <si>
    <t>- Identify where selection statements can be used in a program</t>
  </si>
  <si>
    <t>- Modify a program to include selection</t>
  </si>
  <si>
    <t>- Create conditions that use comparison operators (&gt;,&lt;,=)</t>
  </si>
  <si>
    <t>- Create conditions that use logic operators (and/or/not)</t>
  </si>
  <si>
    <t>- Identify where selection statements can be used in a program that include comparison and logical operators</t>
  </si>
  <si>
    <t>- Define iteration as a group of instructions that are repeatedly executed</t>
  </si>
  <si>
    <t>- Describe the need for iteration</t>
  </si>
  <si>
    <t>- Identify where count-controlled iteration can be used in a program</t>
  </si>
  <si>
    <t>- Implement count-controlled iteration in a program</t>
  </si>
  <si>
    <t>- Detect and correct errors in a program (debugging)</t>
  </si>
  <si>
    <t>- Independently design and apply programming constructs to solve a problem (subroutine, selection, count-controlled iteration, operators, and variables)</t>
  </si>
  <si>
    <t>Programming essentials in Scratch – part II</t>
  </si>
  <si>
    <t>- Define a subroutine as a group of instructions that will run when called by the main program or other subroutines</t>
  </si>
  <si>
    <t>- Define decomposition as breaking a problem down into smaller, more manageable subproblems</t>
  </si>
  <si>
    <t>- Identify how subroutines can be used for decomposition</t>
  </si>
  <si>
    <t>- Identify where condition-controlled iteration can be used in a program</t>
  </si>
  <si>
    <t>- Implement condition-controlled iteration in a program</t>
  </si>
  <si>
    <t>- Evaluate which type of iteration is required in a program</t>
  </si>
  <si>
    <t>- Define a list as a collection of related elements that are referred to by a single name</t>
  </si>
  <si>
    <t>- Describe the need for lists</t>
  </si>
  <si>
    <t>- Identify when lists can be used in a program</t>
  </si>
  <si>
    <t>- Use a list</t>
  </si>
  <si>
    <t>- Decompose a larger problem into smaller subproblems</t>
  </si>
  <si>
    <t>- Apply appropriate constructs to solve a problem</t>
  </si>
  <si>
    <t>Using media – Gaining support for a cause</t>
  </si>
  <si>
    <t>- Select the most appropriate software to use to complete a task</t>
  </si>
  <si>
    <t>3.7,3.8</t>
  </si>
  <si>
    <t>- Identify the key features of a word processor</t>
  </si>
  <si>
    <t>- Apply the key features of a word processor to format a document</t>
  </si>
  <si>
    <t>- Evaluate formatting techniques to understand why we format documents</t>
  </si>
  <si>
    <t>DD,ET</t>
  </si>
  <si>
    <t>- Select appropriate images for a given context</t>
  </si>
  <si>
    <t>- Apply appropriate formatting techniques</t>
  </si>
  <si>
    <t>- Demonstrate an understanding of licensing issues involving online content by applying appropriate Creative Commons licences</t>
  </si>
  <si>
    <t>- Demonstrate the ability to credit the original source of an image</t>
  </si>
  <si>
    <t>- Critique digital content for credibility</t>
  </si>
  <si>
    <t>- Apply techniques in order to identify whether or not a source is credible</t>
  </si>
  <si>
    <t>- Apply referencing techniques and understand the concept of plagiarism</t>
  </si>
  <si>
    <t>- Evaluate online sources for use in own work</t>
  </si>
  <si>
    <t>CM,IT</t>
  </si>
  <si>
    <t>- Construct a blog using appropriate software</t>
  </si>
  <si>
    <t>- Organise the content of the blog based on credible sources</t>
  </si>
  <si>
    <t>- Apply referencing techniques that credit authors appropriately</t>
  </si>
  <si>
    <t>- Design the layout of the content to make it suitable for the audience</t>
  </si>
  <si>
    <t>- Organise the content of blog based on credible sources</t>
  </si>
  <si>
    <t>- Recall that a general-purpose computing system is a device for executing programs</t>
  </si>
  <si>
    <t>3.4,3.5,3.6</t>
  </si>
  <si>
    <t>- Recall that a program is a sequence of instructions that specify operations that are to be performed on data</t>
  </si>
  <si>
    <t>- Explain the difference between a general-purpose computing system and a purpose-built device</t>
  </si>
  <si>
    <t>- Describe the function of the hardware components used in computing systems</t>
  </si>
  <si>
    <t>- Describe how the hardware components used in computing systems work together in order to execute programs</t>
  </si>
  <si>
    <t>- Recall that all computing systems, regardless of form, have a similar structure (‘architecture’)</t>
  </si>
  <si>
    <t>- Analyse how the hardware components used in computing systems work together in order to execute programs</t>
  </si>
  <si>
    <t>- Define what an operating system is, and recall its role in controlling program execution</t>
  </si>
  <si>
    <t>- Describe the NOT, AND, and OR logical operators, and how they are used to form logical expressions</t>
  </si>
  <si>
    <t>- Use logic gates to construct logic circuits, and associate these with logical operators and expressions</t>
  </si>
  <si>
    <t>- Describe how hardware is built out of increasingly complex logic circuits</t>
  </si>
  <si>
    <t>- Recall that, since hardware is built out of logic circuits, data and instructions alike need to be represented using binary digits</t>
  </si>
  <si>
    <t>CS,DI,PG</t>
  </si>
  <si>
    <t>- Provide broad definitions of ‘artificial intelligence’ and ‘machine learning’</t>
  </si>
  <si>
    <t>- Identify examples of artificial intelligence and machine learning in the real world</t>
  </si>
  <si>
    <t>- Describe the steps involved in training machines to perform tasks (gathering data, training, testing)</t>
  </si>
  <si>
    <t>- Describe how machine learning differs from traditional programming</t>
  </si>
  <si>
    <t>- Associate the use of artificial intelligence with moral dilemmas</t>
  </si>
  <si>
    <t>- Explain the implications of sharing program code</t>
  </si>
  <si>
    <t>IT,PG</t>
  </si>
  <si>
    <t>Developing for the web</t>
  </si>
  <si>
    <t>- Describe what HTML is</t>
  </si>
  <si>
    <t>- Use HTML to structure static web pages</t>
  </si>
  <si>
    <t>CM,PG</t>
  </si>
  <si>
    <t>- Modify HTML tags using inline styling to improve the appearance of web pages</t>
  </si>
  <si>
    <t>CM,DD,PG</t>
  </si>
  <si>
    <t>- Display images within a web page</t>
  </si>
  <si>
    <t>- Apply HTML tags to construct a web page structure from a provided design</t>
  </si>
  <si>
    <t>- Describe what CSS is</t>
  </si>
  <si>
    <t>- Use CSS to style static web pages</t>
  </si>
  <si>
    <t>- Assess the benefits of using CSS to style pages instead of in-line formatting</t>
  </si>
  <si>
    <t>CM,ET,PG</t>
  </si>
  <si>
    <t>- Describe what a search engine is</t>
  </si>
  <si>
    <t>- Explain how search engines ‘crawl’ through the World Wide Web and how they select and rank results</t>
  </si>
  <si>
    <t>AL,CS,NW</t>
  </si>
  <si>
    <t>- Analyse how search engines select and rank results when searches are made</t>
  </si>
  <si>
    <t>AL,NW</t>
  </si>
  <si>
    <t>- Use search technologies effectively</t>
  </si>
  <si>
    <t>- Discuss the impact of search technologies and the issues that arise by the way they function and the way they are used</t>
  </si>
  <si>
    <t>ET,NW,SS</t>
  </si>
  <si>
    <t>- Create hyperlinks to allow users to navigate between multiple web pages</t>
  </si>
  <si>
    <t>- Implement navigation to complete a functioning website</t>
  </si>
  <si>
    <t>- Complete summative assessment</t>
  </si>
  <si>
    <t>DI,ET,IT</t>
  </si>
  <si>
    <t>Introduction to Python programming</t>
  </si>
  <si>
    <t>- Describe what algorithms and programs are and how they differ</t>
  </si>
  <si>
    <t>3.1,3.2,3.3,3.6</t>
  </si>
  <si>
    <t>- Recall that a program written in a programming language needs to be translated in order to be executed by a machine</t>
  </si>
  <si>
    <t>- Write simple Python programs that display messages, assign values to variables, and receive keyboard input</t>
  </si>
  <si>
    <t>- Locate and correct common syntax errors</t>
  </si>
  <si>
    <t>- Describe the semantics of assignment statements</t>
  </si>
  <si>
    <t>- Use simple arithmetic expressions in assignment statements to calculate values</t>
  </si>
  <si>
    <t>- Receive input from the keyboard and convert it to a numerical value</t>
  </si>
  <si>
    <t>- Use relational operators to form logical expressions</t>
  </si>
  <si>
    <t>- Use binary selection (if, else statements) to control the flow of program execution</t>
  </si>
  <si>
    <t>- Generate and use random integers</t>
  </si>
  <si>
    <t>- Use multi-branch selection (if, elif, else statements) to control the flow of program execution</t>
  </si>
  <si>
    <t>- Describe how iteration (while statements) controls the flow of program execution</t>
  </si>
  <si>
    <t>- Use iteration (while loops) to control the flow of program execution</t>
  </si>
  <si>
    <t>- Use variables as counters in iterative programs</t>
  </si>
  <si>
    <t>- Combine iteration and selection to control the flow of program execution</t>
  </si>
  <si>
    <t>- Use Boolean variables as flags</t>
  </si>
  <si>
    <t>Media – Vector graphics</t>
  </si>
  <si>
    <t>- Draw basic shapes (rectangle, ellipse, polygon, star) with different properties (fill and stroke, shape-specific attributes)</t>
  </si>
  <si>
    <t>- Manipulate individual objects (select, move, resize, rotate, duplicate, flip, z-order)</t>
  </si>
  <si>
    <t>- Manipulate groups of objects (select, group/ungroup, align, distribute)</t>
  </si>
  <si>
    <t>- Combine paths by applying operations (union, difference, intersection)</t>
  </si>
  <si>
    <t>- Convert objects to paths</t>
  </si>
  <si>
    <t>- Draw paths</t>
  </si>
  <si>
    <t>- Edit path nodes</t>
  </si>
  <si>
    <t>- Combine multiple tools and techniques to create a vector graphic design</t>
  </si>
  <si>
    <t>- Explain what vector graphics are</t>
  </si>
  <si>
    <t>- Provide examples where using vector graphics would be appropriate</t>
  </si>
  <si>
    <t>- Peer assess another pair’s project work</t>
  </si>
  <si>
    <t>- Improve your own project work based on feedback</t>
  </si>
  <si>
    <t>- Complete a summative assessment</t>
  </si>
  <si>
    <t>Mobile app development</t>
  </si>
  <si>
    <t>- Identify when a problem needs to be broken down</t>
  </si>
  <si>
    <t>3.1,3.2,3.3,3.8</t>
  </si>
  <si>
    <t>- Implement and customise GUI elements to meet the needs of the user</t>
  </si>
  <si>
    <t>DD,ET,PG</t>
  </si>
  <si>
    <t>- Recognise that events can control the flow of a program</t>
  </si>
  <si>
    <t>- Use user input in an event-driven programming environment</t>
  </si>
  <si>
    <t>- Use variables in an event-driven programming environment</t>
  </si>
  <si>
    <t>- Develop a partially complete application to include additional functionality</t>
  </si>
  <si>
    <t>- Identify and fix common coding errors</t>
  </si>
  <si>
    <t>- Pass the value of a variable into an object</t>
  </si>
  <si>
    <t>- Establish user needs when completing a creative project</t>
  </si>
  <si>
    <t>- Apply decomposition to break down a large problem into more manageable steps</t>
  </si>
  <si>
    <t>- Use user input in a block-based programming language</t>
  </si>
  <si>
    <t>- Use a block-based programming language to create a sequence</t>
  </si>
  <si>
    <t>- Use variables in a block-based programming language</t>
  </si>
  <si>
    <t>- Use a block-based programming language to include sequencing and selection</t>
  </si>
  <si>
    <t>- Reflect and react to user feedback</t>
  </si>
  <si>
    <t>- Evaluate the success of the programming project</t>
  </si>
  <si>
    <t>Representations – from clay to silicon</t>
  </si>
  <si>
    <t>- List examples of representations</t>
  </si>
  <si>
    <t>- Recall that representations are used to store, communicate, and process information</t>
  </si>
  <si>
    <t>- Provide examples of how different representations are appropriate for different tasks</t>
  </si>
  <si>
    <t>- Recall that characters can be represented as sequences of symbols and list examples of character coding schemes</t>
  </si>
  <si>
    <t>- Measure the length of a representation as the number of symbols that it contains</t>
  </si>
  <si>
    <t>- Provide examples of how symbols are carried on physical media</t>
  </si>
  <si>
    <t>- Explain what binary digits (bits) are, in terms of familiar symbols such as digits or letters</t>
  </si>
  <si>
    <t>- Measure the size or length of a sequence of bits as the number of binary digits that it contains</t>
  </si>
  <si>
    <t>- Describe how natural numbers are represented as sequences of binary digits</t>
  </si>
  <si>
    <t>- Convert a decimal number to binary and vice versa</t>
  </si>
  <si>
    <t>- Convert between different units and multiples of representation size</t>
  </si>
  <si>
    <t>- Provide examples of the different ways that binary digits are physically represented in digital devices</t>
  </si>
  <si>
    <t>- Apply all of the skills covered in this unit</t>
  </si>
  <si>
    <t>- Managing online information
- Privacy and security</t>
  </si>
  <si>
    <t>- Critique online services in relation to data privacy</t>
  </si>
  <si>
    <t>DD,SS</t>
  </si>
  <si>
    <t>- Identify what happens to data entered online</t>
  </si>
  <si>
    <t>DI,NW,SS</t>
  </si>
  <si>
    <t>- Explain the need for the Data Protection Act</t>
  </si>
  <si>
    <t>DI,IT,SS</t>
  </si>
  <si>
    <t>- Recognise how human errors pose security risks to data</t>
  </si>
  <si>
    <t>DI,SS</t>
  </si>
  <si>
    <t>- Implement strategies to minimise the risk of data being compromised through human error</t>
  </si>
  <si>
    <t>- Define hacking in the context of cyber security</t>
  </si>
  <si>
    <t>IT,PG,SS</t>
  </si>
  <si>
    <t>- Explain how a DDoS attack can impact users of online services</t>
  </si>
  <si>
    <t>- Identify strategies to reduce the chance of a brute force attack being successful</t>
  </si>
  <si>
    <t>NW,PG,SS</t>
  </si>
  <si>
    <t>- Explain the need for the Computer Misuse Act</t>
  </si>
  <si>
    <t>- List the common malware threats</t>
  </si>
  <si>
    <t>CS,IT,SS</t>
  </si>
  <si>
    <t>- Examine how different types of malware causes problems for computer systems</t>
  </si>
  <si>
    <t>- Question how malicious bots can have an impact on societal issues</t>
  </si>
  <si>
    <t>- Compare security threats against probability and the potential impact to organisations</t>
  </si>
  <si>
    <t>- Explain how networks can be protected from common security threats</t>
  </si>
  <si>
    <t>- Identify the most effective methods to prevent cyberattacks</t>
  </si>
  <si>
    <t>Data science</t>
  </si>
  <si>
    <t>- Define data science</t>
  </si>
  <si>
    <t>- Explain how visualising data can help identify patterns and trends in order to help us gain insights</t>
  </si>
  <si>
    <t>- Use an appropriate software tool to visualise data sets and look for patterns or trends</t>
  </si>
  <si>
    <t>- Recognise examples of where large data sets are used in daily life</t>
  </si>
  <si>
    <t>DI,IT</t>
  </si>
  <si>
    <t>- Select criteria and use data set to investigate predictions</t>
  </si>
  <si>
    <t>- Evaluate findings to support arguments for or against a prediction</t>
  </si>
  <si>
    <t>- Define the terms ‘correlation’ and ‘outliers’ in relation to data trends</t>
  </si>
  <si>
    <t>- Identify the steps of the investigative cycle</t>
  </si>
  <si>
    <t>- Solve a problem by implementing steps of the investigative cycle on a data set</t>
  </si>
  <si>
    <t>- Use findings to support a recommendation</t>
  </si>
  <si>
    <t>- Identify the data needed to answer a question defined by the learner</t>
  </si>
  <si>
    <t>- Create a data capture form</t>
  </si>
  <si>
    <t>- Describe the need for data cleansing</t>
  </si>
  <si>
    <t>- Apply data cleansing techniques to a data set</t>
  </si>
  <si>
    <t>- Visualise a data set</t>
  </si>
  <si>
    <t>- Analyse visualisations to identify patterns, trends, and outliers</t>
  </si>
  <si>
    <t>- Draw conclusions and report findings</t>
  </si>
  <si>
    <t>Media – Animations</t>
  </si>
  <si>
    <t>- Add, delete, and move objects</t>
  </si>
  <si>
    <t>- Scale and rotate objects</t>
  </si>
  <si>
    <t>- Use a material to add colour to objects</t>
  </si>
  <si>
    <t>- Add, move, and delete keyframes to make basic animations</t>
  </si>
  <si>
    <t>- Play, pause, and move through the animation using the timeline</t>
  </si>
  <si>
    <t>- Create useful names for objects</t>
  </si>
  <si>
    <t>- Join multiple objects together using parenting</t>
  </si>
  <si>
    <t>- Use edit mode and extrude</t>
  </si>
  <si>
    <t>- Use loop cut and face editing</t>
  </si>
  <si>
    <t>- Apply different colours to different parts of the same model</t>
  </si>
  <si>
    <t>- Use proportional editing</t>
  </si>
  <si>
    <t>- Use the knife tool</t>
  </si>
  <si>
    <t>- Use subdivision</t>
  </si>
  <si>
    <t>- Add and edit set lighting</t>
  </si>
  <si>
    <t>- Set up the camera</t>
  </si>
  <si>
    <t>- Compare different render modes</t>
  </si>
  <si>
    <t>- Create a 3–10 second animation</t>
  </si>
  <si>
    <t>- Render out the animation</t>
  </si>
  <si>
    <t>Physical computing</t>
  </si>
  <si>
    <t>- Describe what the micro:bit is</t>
  </si>
  <si>
    <t>- List the micro:bit’s input and output devices</t>
  </si>
  <si>
    <t>- Use a development environment to write, execute, and debug a Python program for the micro:bit</t>
  </si>
  <si>
    <t>AL,CS,ET,PG</t>
  </si>
  <si>
    <t>- Write programs that use the micro:bit’s built-in input and output devices</t>
  </si>
  <si>
    <t>AL,CS,PG</t>
  </si>
  <si>
    <t>- Write programs that use GPIO pins to generate output and receive input</t>
  </si>
  <si>
    <t>- Write programs that communicate with other devices by sending and receiving messages wirelessly</t>
  </si>
  <si>
    <t>AL,CS,NW,PG</t>
  </si>
  <si>
    <t>- Design a physical computing artifact purposefully, keeping in mind the problem at hand, the needs of the audience involved, and the available resources</t>
  </si>
  <si>
    <t>CS,DD</t>
  </si>
  <si>
    <t>- Decompose the functionality of a physical computing system into simpler features</t>
  </si>
  <si>
    <t>- Implement a physical computing project, while following, revising, and refining the project plan</t>
  </si>
  <si>
    <t>AL,CS,DD,DI,ET,PG</t>
  </si>
  <si>
    <t>Python programming with sequences of data</t>
  </si>
  <si>
    <t>- Write programs that display messages, receive keyboard input, and use simple arithmetic expressions in assignment statements</t>
  </si>
  <si>
    <t>- Create lists and access individual list items</t>
  </si>
  <si>
    <t>AL,DI,PG</t>
  </si>
  <si>
    <t>- Use selection (**if-elif-else* statements) to control the flow of program execution</t>
  </si>
  <si>
    <t>- Perform common operations on lists or individual items</t>
  </si>
  <si>
    <t>- Use iteration (while statements) to control the flow of program execution</t>
  </si>
  <si>
    <t>- Perform common operations on strings or individual characters</t>
  </si>
  <si>
    <t>- Use iteration (for statements) to iterate over list items</t>
  </si>
  <si>
    <t>- Perform common operations on lists or strings</t>
  </si>
  <si>
    <t>DI,PG</t>
  </si>
  <si>
    <t>- Use iteration (for loops) to iterate over lists and strings</t>
  </si>
  <si>
    <t>- Use variables to keep track of counts and sums</t>
  </si>
  <si>
    <t>- Combine key programming language features to develop solutions to meaningful problems</t>
  </si>
  <si>
    <t>Representations – going audiovisual</t>
  </si>
  <si>
    <t>- Describe how digital images are composed of individual elements</t>
  </si>
  <si>
    <t>- Recall that the colour of each picture element is represented using a sequence of binary digits</t>
  </si>
  <si>
    <t>- Define key terms such as ‘pixels’, ‘resolution’, and ‘colour depth’</t>
  </si>
  <si>
    <t>- Describe how an image can be represented as a sequence of bits</t>
  </si>
  <si>
    <t>- Describe how colour can be represented as a mixture of red, green, and blue, with a sequence of bits representing each colour’s intensity</t>
  </si>
  <si>
    <t>- Compute the representation size of a digital image, by multiplying resolution (number of pixels) with colour depth (number of bits used to represent the colour of individual pixels)</t>
  </si>
  <si>
    <t>- Describe the trade-off between representation size and perceived quality for digital images</t>
  </si>
  <si>
    <t>- Perform basic image editing tasks using appropriate software and combine them in order to solve more complex problems requiring image manipulation</t>
  </si>
  <si>
    <t>- Explain how the manipulation of digital images amounts to arithmetic operations on their digital representation</t>
  </si>
  <si>
    <t>- Describe and assess the creative benefits and ethical drawbacks of digital manipulation [Education for a Connected World](https://www.gov.uk/government/publications/education-for-a-connected-world)</t>
  </si>
  <si>
    <t>CM,DI,IT</t>
  </si>
  <si>
    <t>- Recall that sound is a wave</t>
  </si>
  <si>
    <t>- Explain the function of microphones and speakers as components that capture and generate sound</t>
  </si>
  <si>
    <t>- Define key terms such as ‘sample’, ‘sampling frequency/rate’, ‘sample size’</t>
  </si>
  <si>
    <t>- Describe how sounds are represented as sequences of bits</t>
  </si>
  <si>
    <t>- Calculate representation size for a given digital sound, given its attributes</t>
  </si>
  <si>
    <t>- Explain how attributes such as sampling frequency and sample size affect characteristics such as representation size and perceived quality, and the trade-offs involved</t>
  </si>
  <si>
    <t xml:space="preserve">- Perform basic sound editing tasks using appropriate software and combine them in order to solve more complex problems requiring sound manipulation
</t>
  </si>
  <si>
    <t>- Recall that bitmap images and pulse code sound are not the only binary representations of images and sound available</t>
  </si>
  <si>
    <t>- Define ‘compression’, and describe why it is necessary</t>
  </si>
  <si>
    <t>Non-GCSE</t>
  </si>
  <si>
    <t>IT and the world of work</t>
  </si>
  <si>
    <t>Examine traditional and modern team working</t>
  </si>
  <si>
    <t>DD,IT</t>
  </si>
  <si>
    <t>Interpret the advantages and disadvantages of 24/7/365 availability</t>
  </si>
  <si>
    <t>Compare inclusivity and accessibility within traditional and modern teams</t>
  </si>
  <si>
    <t>Examine modern technology tools that assist inclusivity and accessibility</t>
  </si>
  <si>
    <t>Explore communication tools</t>
  </si>
  <si>
    <t>DD,ET,IT</t>
  </si>
  <si>
    <t>Evaluate collaborative working</t>
  </si>
  <si>
    <t>Recall collaboration and communication platforms</t>
  </si>
  <si>
    <t>Evaluate effective online communication</t>
  </si>
  <si>
    <t>Formulate a proposal that identifies essential skills for the modern workplace</t>
  </si>
  <si>
    <t>Assess the functions and features of cloud computing</t>
  </si>
  <si>
    <t>Justify the selection of communication platforms</t>
  </si>
  <si>
    <t>Evaluate the security of using the cloud for storage and document/data creation</t>
  </si>
  <si>
    <t>Recognise methods of creating a network when mobile or remote working</t>
  </si>
  <si>
    <t>Evaluate the advantages and disadvantages of ad hoc networks</t>
  </si>
  <si>
    <t>Judge the security of ad hoc networks</t>
  </si>
  <si>
    <t>Evaluate the impact of mental well-being on individuals</t>
  </si>
  <si>
    <t>Evaluate the impact of physical well-being on individuals</t>
  </si>
  <si>
    <t>Create a positive working environment</t>
  </si>
  <si>
    <t>IT project management</t>
  </si>
  <si>
    <t>Define the term project management</t>
  </si>
  <si>
    <t>4.1,4.2</t>
  </si>
  <si>
    <t>Identify why the use of project management is important</t>
  </si>
  <si>
    <t>Select appropriate project management methodologies</t>
  </si>
  <si>
    <t>Analyse a project brief</t>
  </si>
  <si>
    <t>Identify the user requirements of a project</t>
  </si>
  <si>
    <t>Evaluate the constraints of a project</t>
  </si>
  <si>
    <t>Identify objectives relating to a project</t>
  </si>
  <si>
    <t>Develop objectives into SMART goals</t>
  </si>
  <si>
    <t>Define ‘iteration’ and ‘interaction’</t>
  </si>
  <si>
    <t>Create a Gantt chart</t>
  </si>
  <si>
    <t>Create a PERT chart</t>
  </si>
  <si>
    <t>Evaluate planning tools</t>
  </si>
  <si>
    <t>Create an appropriate spreadsheet for a project</t>
  </si>
  <si>
    <t>Evaluate a spreadsheet</t>
  </si>
  <si>
    <t>Follow a design plan</t>
  </si>
  <si>
    <t>Create visual media</t>
  </si>
  <si>
    <t>Assess the effectiveness of planning for the visual elements of a project</t>
  </si>
  <si>
    <t>Evaluate the overall success of a completed project</t>
  </si>
  <si>
    <t>Test the effectiveness of developed products</t>
  </si>
  <si>
    <t>Develop documentation for the first stage of a project</t>
  </si>
  <si>
    <t>Create planning documents for a project</t>
  </si>
  <si>
    <t>Create project products</t>
  </si>
  <si>
    <t>Develop testing documentation</t>
  </si>
  <si>
    <t>Evaluate a completed project</t>
  </si>
  <si>
    <t>Media</t>
  </si>
  <si>
    <t>Describe the term ‘pre-production’</t>
  </si>
  <si>
    <t>Compare planning tools available for pre-production</t>
  </si>
  <si>
    <t>Create pre-production planning materials</t>
  </si>
  <si>
    <t>Describe the two main types of digital graphics: raster and vector</t>
  </si>
  <si>
    <t>Name associated file formats for types of digital graphics</t>
  </si>
  <si>
    <t>Utilise open source software to create both types of digital graphics</t>
  </si>
  <si>
    <t>Identify the resources required for creating digital graphics</t>
  </si>
  <si>
    <t>Recognise the legislation regarding use of digital graphics</t>
  </si>
  <si>
    <t>Name the different camera angles used in video production</t>
  </si>
  <si>
    <t>Recognise different file formats and properties of digital video</t>
  </si>
  <si>
    <t>Utilise the software required for digital video creation</t>
  </si>
  <si>
    <t>Discuss the features and properties of websites</t>
  </si>
  <si>
    <t>Plan a multi-page website</t>
  </si>
  <si>
    <t>Create a multi-page website using open source tools</t>
  </si>
  <si>
    <t>Plan a digital media artefact from a selected client brief</t>
  </si>
  <si>
    <t>Create media artefacts</t>
  </si>
  <si>
    <t>Evaluate design decisions for media artefacts</t>
  </si>
  <si>
    <t>Describe the role of conventions in programming</t>
  </si>
  <si>
    <t>Recall that there are different paradigms for programming</t>
  </si>
  <si>
    <t>Define object-oriented programming</t>
  </si>
  <si>
    <t>Identify a class and object as a part of a program</t>
  </si>
  <si>
    <t>Describe the relationship between a class and an object</t>
  </si>
  <si>
    <t>Define attributes and methods as a part of a class</t>
  </si>
  <si>
    <t>Use a constructor to create objects</t>
  </si>
  <si>
    <t>Use a method and access an attribute on an object</t>
  </si>
  <si>
    <t>Model a real world problem using object oriented programming conventions</t>
  </si>
  <si>
    <t>Create a class</t>
  </si>
  <si>
    <t>Define the use of a self parameter in object-oriented Python</t>
  </si>
  <si>
    <t>Create a method on a class</t>
  </si>
  <si>
    <t>Access and modify attributes using getters and setters</t>
  </si>
  <si>
    <t>Define the principle of inheritance</t>
  </si>
  <si>
    <t>Define the terms superclass and subclass</t>
  </si>
  <si>
    <t>Select appropriate uses of inheritance</t>
  </si>
  <si>
    <t>Create a subclass in a program</t>
  </si>
  <si>
    <t>Explore a program written using OOP</t>
  </si>
  <si>
    <t>Explain the key concepts of OOP</t>
  </si>
  <si>
    <t>Online safety</t>
  </si>
  <si>
    <t>Discuss the main safety concerns of being online</t>
  </si>
  <si>
    <t>Reflect on online activity from a safety perspective</t>
  </si>
  <si>
    <t>Define online reputation and discuss what it is made up of</t>
  </si>
  <si>
    <t>Discuss techniques on how to build a positive online reputation</t>
  </si>
  <si>
    <t>Discuss the ways in which one’s online reputation might be under threat and how to defend it</t>
  </si>
  <si>
    <t>Define the terms ‘big data’ and ‘data analytics’</t>
  </si>
  <si>
    <t>Discuss the ethics of big data use</t>
  </si>
  <si>
    <t>Investigate the stakeholders who use big data and why</t>
  </si>
  <si>
    <t>Explain how data is collected on and how it is used</t>
  </si>
  <si>
    <t>Investigate the legal rights to privacy within the UK</t>
  </si>
  <si>
    <t>Discuss which rights are believed to be upheld</t>
  </si>
  <si>
    <t>Debate whether the right to privacy is important, why this might be the case, and if the right to privacy is in tension with any other rights</t>
  </si>
  <si>
    <t>Evaluate what data created online is valuable, and to whom</t>
  </si>
  <si>
    <t>Discuss ways in which data might be stolen</t>
  </si>
  <si>
    <t>Define terms ‘phishing’ and ‘malware’</t>
  </si>
  <si>
    <t>Identify ways to protect one’s data online</t>
  </si>
  <si>
    <t>Discuss examples of disinformation spread online</t>
  </si>
  <si>
    <t>Define the term ‘fake news’ and discuss the quantity of fake news available online</t>
  </si>
  <si>
    <t>Identify why fake news exists and who creates it</t>
  </si>
  <si>
    <t>Discuss ways of identifying fake news and other forms of disinformation</t>
  </si>
  <si>
    <t>Explain why some content online can be potentially harmful</t>
  </si>
  <si>
    <t>Describe the UK laws governing online content</t>
  </si>
  <si>
    <t>Discuss why policing online spaces can be difficult</t>
  </si>
  <si>
    <t>Demonstrate how to report illegal online content</t>
  </si>
  <si>
    <t>Discuss how we decide what content should be illegal</t>
  </si>
  <si>
    <t>Debate the right to access information in the context of safety concerns online already discussed in this unit</t>
  </si>
  <si>
    <t>Compare UK laws with those in other countries</t>
  </si>
  <si>
    <t>Discover different technologies used to access and share information online</t>
  </si>
  <si>
    <t>Reflect on how big data and other tools help to target information to specific users</t>
  </si>
  <si>
    <t>Discuss the impact this might have on different people’s online experiences and the potential disadvantages of living in an online bubble</t>
  </si>
  <si>
    <t>Contemplate the potential harms of being online</t>
  </si>
  <si>
    <t>Determine practical actions that can be made to protect oneself online</t>
  </si>
  <si>
    <t>Summarise key aspects of online safety</t>
  </si>
  <si>
    <t>CS,DI,IT,NW,SS</t>
  </si>
  <si>
    <t>Spreadsheets</t>
  </si>
  <si>
    <t>Create a spreadsheet model for a given scenario</t>
  </si>
  <si>
    <t>Demonstrate how to use formulae to perform calculations</t>
  </si>
  <si>
    <t>Apply cell formatting</t>
  </si>
  <si>
    <t>Implement formatting to make the spreadsheet readable and to highlight different specific information</t>
  </si>
  <si>
    <t>Use data validation when entering data in order to reduce user error</t>
  </si>
  <si>
    <t>Implement conditional formatting techniques</t>
  </si>
  <si>
    <t>Format cells correctly, e.g. cells representing money should be currency, etc.</t>
  </si>
  <si>
    <t>Select the most suitable chart to visualise the selected data</t>
  </si>
  <si>
    <t>Recognise the importance of clear titles and labels</t>
  </si>
  <si>
    <t>Implement and test a macro to carry out a repetitive task</t>
  </si>
  <si>
    <t>Implement a LOOKUP function to retrieve data</t>
  </si>
  <si>
    <t>Implement an IF function to give the user feedback</t>
  </si>
  <si>
    <t>Demonstrate that skills developed in the lessons can be applied to a different scenario</t>
  </si>
  <si>
    <t>Solve problems using transferable skills</t>
  </si>
  <si>
    <t>Think widely about the uses for and purposes of spreadsheets</t>
  </si>
  <si>
    <t>GCSE</t>
  </si>
  <si>
    <t>Algorithms part 1</t>
  </si>
  <si>
    <t>Define the terms decomposition, abstraction and algorithmic thinking</t>
  </si>
  <si>
    <t>Recognise scenarios where each of these computational thinking techniques are applied</t>
  </si>
  <si>
    <t>Apply decomposition, abstraction and algorithmic thinking to help solve a problem</t>
  </si>
  <si>
    <t>Describe the difference between algorithms and computer programs</t>
  </si>
  <si>
    <t>Identify algorithms that are defined as written descriptions, flowcharts and code</t>
  </si>
  <si>
    <t>Analyse and create flowcharts using the flowchart symbols</t>
  </si>
  <si>
    <t>Use a trace table to walk through code that contains a while loop, a for loop and a list of items</t>
  </si>
  <si>
    <t>Use a trace table to detect and correct errors in a program</t>
  </si>
  <si>
    <t>Algorithms part 2</t>
  </si>
  <si>
    <t>Identify why computers often need to search data</t>
  </si>
  <si>
    <t>Describe how linear search is used for finding the position of an item in a list of items</t>
  </si>
  <si>
    <t>Perform a linear search to find the position of an item in a list</t>
  </si>
  <si>
    <t>Describe how binary search is used for finding the position of an item in a list of items</t>
  </si>
  <si>
    <t>Perform a binary search to find the position of an item in a list</t>
  </si>
  <si>
    <t>Identify scenarios when a binary search can and cannot be carried out</t>
  </si>
  <si>
    <t>Compare the features of linear and binary search and decide which is most suitable in a given context</t>
  </si>
  <si>
    <t>Interpret the code for linear search and binary search</t>
  </si>
  <si>
    <t>Trace code for both searching algorithms with input data</t>
  </si>
  <si>
    <t>Identify why computers often need to sort data</t>
  </si>
  <si>
    <t>Traverse a list of items, swapping the items that are out of order</t>
  </si>
  <si>
    <t>Perform a bubble sort to order a list containing sample data</t>
  </si>
  <si>
    <t>Insert an item into an ordered list of items</t>
  </si>
  <si>
    <t>Describe how insertion sort is used for ordering a list of items</t>
  </si>
  <si>
    <t>Perform an insertion sort to order a list containing sample data</t>
  </si>
  <si>
    <t>Interpret the code for bubble sort and insertion sort</t>
  </si>
  <si>
    <t>Trace code for both sorting algorithms with input data</t>
  </si>
  <si>
    <t>Identify factors that could influence the efficiency of a bubble sort implementation</t>
  </si>
  <si>
    <t>Merge two ordered lists of items into a new ordered list</t>
  </si>
  <si>
    <t>Describe how merge sort is used for ordering a list of items</t>
  </si>
  <si>
    <t>Perform a merge sort to order a list containing sample data</t>
  </si>
  <si>
    <t>Interpret algorithms and suggest improvements</t>
  </si>
  <si>
    <t>Analyse and fix errors in a flowchart</t>
  </si>
  <si>
    <t>Perform searching and sorting algorithms on samples of data</t>
  </si>
  <si>
    <t>Develop a linear search function in Python</t>
  </si>
  <si>
    <t>Complete the end of unit assessment</t>
  </si>
  <si>
    <t>Understand the difference between embedded and general purpose computer systems</t>
  </si>
  <si>
    <t>4.1,4.2,4.3</t>
  </si>
  <si>
    <t>Describe the role of system software as part of a computer system</t>
  </si>
  <si>
    <t>Explore the role of the operating system and utility software</t>
  </si>
  <si>
    <t>Describe the basic components of the CPU</t>
  </si>
  <si>
    <t>Understand the roles and purpose of each component of the CPU in computation</t>
  </si>
  <si>
    <t>Explain how the fetch-decode-execute cycle works by describing what happens at each stage</t>
  </si>
  <si>
    <t>Describe the role of each part of the CPU as part of the fetch-decode-execute cycle</t>
  </si>
  <si>
    <t>Describe the characteristics of RAM and ROM</t>
  </si>
  <si>
    <t>Explain the role of main memory as part of a computer system</t>
  </si>
  <si>
    <t>Define cache memory</t>
  </si>
  <si>
    <t>Describe the role of cache in a computer system</t>
  </si>
  <si>
    <t>Explain why a computer system needs secondary storage</t>
  </si>
  <si>
    <t>State the different types of secondary storage and describe their functional characteristics</t>
  </si>
  <si>
    <t>State how solid-state memory works and describe its characteristics</t>
  </si>
  <si>
    <t>Explain how optical and magnetic memory stores data in the form of binary</t>
  </si>
  <si>
    <t>Describe how data is read from and written to optical and magnetic memory</t>
  </si>
  <si>
    <t>Apply knowledge of storage devices to compare the three mediums of storage</t>
  </si>
  <si>
    <t>Apply the knowledge of storage devices to recommend an appropriate device</t>
  </si>
  <si>
    <t>Describe the limitations of secondary storage</t>
  </si>
  <si>
    <t>Explain the definition of ‘cloud storage’ and describe the characteristics of cloud storage</t>
  </si>
  <si>
    <t>Explore the factors that impact a CPU’s performance</t>
  </si>
  <si>
    <t>Select components to create a computer system</t>
  </si>
  <si>
    <t>Evaluate a computer’s suitability for a given task</t>
  </si>
  <si>
    <t>Revise computer systems content covered so far</t>
  </si>
  <si>
    <t>Design and implement a software project</t>
  </si>
  <si>
    <t>Discover the logic gates AND, NOT, and OR, including their symbols and truth tables</t>
  </si>
  <si>
    <t>AL,CS</t>
  </si>
  <si>
    <t>Learn how logic gates are used in carrying out computation</t>
  </si>
  <si>
    <t>Design a logical circuit, combining logic gates to solve a problem</t>
  </si>
  <si>
    <t>Construct truth tables for a three-input logic circuit</t>
  </si>
  <si>
    <t>Write a Boolean expression to describe a logical circuit</t>
  </si>
  <si>
    <t>Describe how combinations of logic gates can perform mathematical operations</t>
  </si>
  <si>
    <t>Explain the basic commands in the LMC’s assembly code: INP, OUT, STA, LDA, ADD, SUB, and BRP</t>
  </si>
  <si>
    <t>Determine that assembly language has a 1:1 relationship with machine code</t>
  </si>
  <si>
    <t>Design and write your own program in assembly language</t>
  </si>
  <si>
    <t>Define the terms cybersecurity and network security, explain their importance, and distinguish between the two</t>
  </si>
  <si>
    <t>4.1,4.3</t>
  </si>
  <si>
    <t>Describe the features of a network that make it vulnerable to attack</t>
  </si>
  <si>
    <t>Describe the impact of cybercrime on businesses and individuals</t>
  </si>
  <si>
    <t>Analyse an attack on a company and identify what motivated the hackers</t>
  </si>
  <si>
    <t>Demonstrate knowledge of social engineering in role play and case studies</t>
  </si>
  <si>
    <t>Identify and describe non-automated forms of cyberattack and how humans can be the weak points in an organisation</t>
  </si>
  <si>
    <t>Analyse a real cyberattack and identify the network or software weaknesses that enabled it to happen</t>
  </si>
  <si>
    <t>Describe automated forms of cyberattack</t>
  </si>
  <si>
    <t>Describe ways in which organisations use software to protect against cyberattacks</t>
  </si>
  <si>
    <t>Identify how software can be used to protect from cyberattacks</t>
  </si>
  <si>
    <t>CS,DD,NW,SS</t>
  </si>
  <si>
    <t>Describe different ways to protect software systems and networks (2 of 2)</t>
  </si>
  <si>
    <t>Understand the need for, and importance of, network security</t>
  </si>
  <si>
    <t>Explain a number of methods of achieving network security</t>
  </si>
  <si>
    <t>Describe different methods of identifying cybersecurity vulnerabilities, such as: penetration testing, ethical hacking, network forensics, commercial analysis tools, review of network and user policies</t>
  </si>
  <si>
    <t>Evaluate the potential for cybersecurity careers</t>
  </si>
  <si>
    <t>Apply knowledge of cybersecurity to GCSE-style questions</t>
  </si>
  <si>
    <t>CS,DD,IT,NW,SS</t>
  </si>
  <si>
    <t>Describe a database</t>
  </si>
  <si>
    <t>Define database key terms (table, record, field, primary key, foreign key)</t>
  </si>
  <si>
    <t>Describe a flat file database</t>
  </si>
  <si>
    <t>Describe a relational database</t>
  </si>
  <si>
    <t>Describe the function of SQL</t>
  </si>
  <si>
    <t>Use SQL to retrieve data from a table in a relational database</t>
  </si>
  <si>
    <t>Use SQL to retrieve data from more than one table in a relational database</t>
  </si>
  <si>
    <t>Describe the function of different data types.</t>
  </si>
  <si>
    <t>Use SQL to insert, update and delete data into a relational database</t>
  </si>
  <si>
    <t>Interrogate and update an existing database</t>
  </si>
  <si>
    <t>Data representations</t>
  </si>
  <si>
    <t>Give examples of the use of representation</t>
  </si>
  <si>
    <t>Explain how binary relates to two-state electrical signals</t>
  </si>
  <si>
    <t>Work out what range of numbers can be stored in a specific number of bits</t>
  </si>
  <si>
    <t>Explain the concept of a number base</t>
  </si>
  <si>
    <t>Convert a positive binary integer to decimal</t>
  </si>
  <si>
    <t>Convert a decimal number to binary</t>
  </si>
  <si>
    <t>Define the term ‘bit’</t>
  </si>
  <si>
    <t>Perform binary shifts (logical)</t>
  </si>
  <si>
    <t>Perform binary addition</t>
  </si>
  <si>
    <t>Explain why overflow might occur</t>
  </si>
  <si>
    <t>Define the term ‘byte’</t>
  </si>
  <si>
    <t>Explain how numbers are represented using hexadecimal</t>
  </si>
  <si>
    <t>Convert decimal numbers to and from hexadecimal</t>
  </si>
  <si>
    <t>Explain why and where hexadecimal notation is used</t>
  </si>
  <si>
    <t>Be able to convert binary numbers to and from hexadecimal</t>
  </si>
  <si>
    <t>Define the term ‘nibble’</t>
  </si>
  <si>
    <t>Explain how ASCII is used to represent characters, and its limitations</t>
  </si>
  <si>
    <t>Explain what a character set is</t>
  </si>
  <si>
    <t>Explain the need for Unicode</t>
  </si>
  <si>
    <t>Be able to calculate the number of bits needed to store a piece of text</t>
  </si>
  <si>
    <t>Describe what a pixel is and how pixels relate to images</t>
  </si>
  <si>
    <t>Explain how bitmaps are used to represent images</t>
  </si>
  <si>
    <t>Convert between binary data and black and white bitmaps</t>
  </si>
  <si>
    <t>Explain the relationship between resolution, colour depth, and file size for images</t>
  </si>
  <si>
    <t>Describe colour depth and resolution, and how they impact on image quality</t>
  </si>
  <si>
    <t>Define the terms ‘bit’, ‘nibble’, ‘byte’, ‘megabyte’, ‘gigabyte’, ‘terabyte’, and ‘petabyte’</t>
  </si>
  <si>
    <t>Be able to convert between units of measurement</t>
  </si>
  <si>
    <t>Explain the difference between raster and vector graphics</t>
  </si>
  <si>
    <t>Describe the use of metadata in image files</t>
  </si>
  <si>
    <t>Explain why analogue sound data needs to be converted to discrete values</t>
  </si>
  <si>
    <t>Describe the concepts of sampling, sample rate, and sample resolution</t>
  </si>
  <si>
    <t>Describe the use of metadata in sound files</t>
  </si>
  <si>
    <t>Calculate file size requirements for sound files</t>
  </si>
  <si>
    <t>Create a simple web page using basic tags</t>
  </si>
  <si>
    <t>CM,NW,PG</t>
  </si>
  <si>
    <t>Describe the purpose of HTML and tags when designing a website</t>
  </si>
  <si>
    <t>Describe what is meant by the term ‘accessibility’</t>
  </si>
  <si>
    <t>DD,IT,NW</t>
  </si>
  <si>
    <t>Extend a HTML page to include images &lt;img&gt; and hyperlinks &lt;a href&gt;</t>
  </si>
  <si>
    <t>Identify the common features of existing websites and the basics of what makes good web design</t>
  </si>
  <si>
    <t>DD,NW,PG</t>
  </si>
  <si>
    <t>Design and create pages for a mini website</t>
  </si>
  <si>
    <t>CM,DD,NW,PG</t>
  </si>
  <si>
    <t>Create hyperlinks between pages stored locally within a folder</t>
  </si>
  <si>
    <t>Insert images stored locally within a folder</t>
  </si>
  <si>
    <t>Experiment with CSS by changing the style of the tags learnt so far in this unit</t>
  </si>
  <si>
    <t>Describe the purpose of CSS and why it is needed in addition to HTML</t>
  </si>
  <si>
    <t>Apply knowledge of CSS to DIVs within web pages using classes</t>
  </si>
  <si>
    <t>Describe the purpose of DIV tags</t>
  </si>
  <si>
    <t>Apply skills to position items within a page</t>
  </si>
  <si>
    <t>Explain how to plan a website by developing house style and sketched wireframe</t>
  </si>
  <si>
    <t>Describe the box model in CSS</t>
  </si>
  <si>
    <t>Self/peer evaluate the webpage produced using a rubric</t>
  </si>
  <si>
    <t>Construct a three-page website to showcase the skills learned throughout this unit of study</t>
  </si>
  <si>
    <t>Extend/finish the assessed website</t>
  </si>
  <si>
    <t>Showcase the assessed website</t>
  </si>
  <si>
    <t>Demonstrate how much has been learnt by taking an end of unit test</t>
  </si>
  <si>
    <t>Apply the terms ‘privacy’, ‘legal’, ‘ethical’, ‘environmental’, and ‘cultural’</t>
  </si>
  <si>
    <t>Explain data legislation, including an organisation’s obligation to protect and supply data</t>
  </si>
  <si>
    <t>Explain the term ‘stakeholder’</t>
  </si>
  <si>
    <t>Explain the right to be forgotten</t>
  </si>
  <si>
    <t>Distinguish the differences between legitimate creative uses and clear infringement of material subject to copyright</t>
  </si>
  <si>
    <t>Explain the Freedom of Information Act</t>
  </si>
  <si>
    <t>Define ‘computer misuse’ and the associated offences</t>
  </si>
  <si>
    <t>Identify situations that would be classified as an offence under the Act</t>
  </si>
  <si>
    <t>Define ‘downtime’ and explain the associated impact on an organisation</t>
  </si>
  <si>
    <t>Explain what is meant by the ‘digital divide’ and measures to mitigate its effect</t>
  </si>
  <si>
    <t>Identify positive and negative aspects of the use of mobile technology</t>
  </si>
  <si>
    <t>Identify the implications of having personal data online</t>
  </si>
  <si>
    <t>Explain the social and environmental impacts of social media</t>
  </si>
  <si>
    <t>Explain the positive and negative effects of online content</t>
  </si>
  <si>
    <t>Explain the environmental effects of the use of technology</t>
  </si>
  <si>
    <t>Explain the ethical issues surrounding the use of AI in society</t>
  </si>
  <si>
    <t>AL,IT,PG</t>
  </si>
  <si>
    <t>Explain the ethical impact of using algorithms to make decisions</t>
  </si>
  <si>
    <t>Demonstrate knowledge of the five impacts of technology</t>
  </si>
  <si>
    <t>Define what networks are</t>
  </si>
  <si>
    <t>Describe the hardware components required to build networks of devices</t>
  </si>
  <si>
    <t>Analyse the benefits and problems associated with networks</t>
  </si>
  <si>
    <t>Explain how devices can be connected to a network either through a wired or wireless connection</t>
  </si>
  <si>
    <t>Define MAC addresses and their use in networks</t>
  </si>
  <si>
    <t>Analyse specific examples including Ethernet and Wi-Fi</t>
  </si>
  <si>
    <t>Explain the importance of connectivity in modern computing systems</t>
  </si>
  <si>
    <t>List and describe the different types of networks depending on node distribution, including personal, local, and wide area networks</t>
  </si>
  <si>
    <t>List, describe, and compare the different types of networks depending on topology, such as ring, star, and bus</t>
  </si>
  <si>
    <t>List, describe, and compare the different types of communication models encountered in networks, such as server–client and peer-to-peer</t>
  </si>
  <si>
    <t>Define and describe the internet</t>
  </si>
  <si>
    <t>Define the WWW and describe its main components</t>
  </si>
  <si>
    <t>Define and explain the concept of a networking protocol</t>
  </si>
  <si>
    <t>List and explain standard internet protocols in the application layer, such as HTTP, HTTPS, FTP, DNS, SMTP, POP, and IMAP</t>
  </si>
  <si>
    <t>Explain and describe the advantages and disadvantages of circuit switching and packet switching</t>
  </si>
  <si>
    <t>List and explain the four different layers associated with the Internet Protocol: link, network/internet, transport, and application</t>
  </si>
  <si>
    <t>Explain the Internet Protocol in the internet layer</t>
  </si>
  <si>
    <t>List and explain standard internet protocols in the transport layer, such as TCP and UDP</t>
  </si>
  <si>
    <t>Describe how network data speeds are measured, and the factors affecting network performance</t>
  </si>
  <si>
    <t>Define what virtual networks are, and how they are used to maintain network performance</t>
  </si>
  <si>
    <t>Explain why networks are a target for criminals, and what some of the tools available to defend against attacks are</t>
  </si>
  <si>
    <t>Physical computing project</t>
  </si>
  <si>
    <t>Define the term physical computing</t>
  </si>
  <si>
    <t>Explain the term embedded systems</t>
  </si>
  <si>
    <t>Create and test a working circuit</t>
  </si>
  <si>
    <t>Explore how to add functionality using a motor controller</t>
  </si>
  <si>
    <t>DD,CS,PG</t>
  </si>
  <si>
    <t>Interact with real-world objects using code and additional hardware</t>
  </si>
  <si>
    <t>Use basic materials and tools to create a prototype</t>
  </si>
  <si>
    <t>Understand how ultrasonic sound waves work</t>
  </si>
  <si>
    <t>DI,CS,PG</t>
  </si>
  <si>
    <t>Combine inputs and outputs to solve a problem</t>
  </si>
  <si>
    <t>DD,PG,AL,CS</t>
  </si>
  <si>
    <t>Understand how reflective optical sensors work</t>
  </si>
  <si>
    <t>DI,CS</t>
  </si>
  <si>
    <t>Process input data to monitor and react to the environment</t>
  </si>
  <si>
    <t>DI,PG,CS</t>
  </si>
  <si>
    <t>Synchronise the behaviour of physical hardware components for a given situation</t>
  </si>
  <si>
    <t>DI,DD,CS,AL,PG</t>
  </si>
  <si>
    <t>Programming part 1 - Sequence</t>
  </si>
  <si>
    <t>Compare how humans and computers interpret instructions</t>
  </si>
  <si>
    <t>Explain the differences between high- and low-level programming languages</t>
  </si>
  <si>
    <t>Describe why translators are necessary</t>
  </si>
  <si>
    <t>List the differences, benefits and drawbacks of using a compiler or an interpreter</t>
  </si>
  <si>
    <t>Use subroutines in programs</t>
  </si>
  <si>
    <t>Define a sequence as instructions performed in order, with each executed in turn</t>
  </si>
  <si>
    <t>Predict the outcome of a sequence and modify it</t>
  </si>
  <si>
    <t>Interpret error messages and define error types and identify them in programs (logic, syntax)</t>
  </si>
  <si>
    <t>Describe the tools an IDE provides (editors, error diagnostics, run-time environment, translators)</t>
  </si>
  <si>
    <t>Use meaningful identifiers</t>
  </si>
  <si>
    <t>Determine the need for variables</t>
  </si>
  <si>
    <t>Distinguish between declaration, initialisation and assignment of variables</t>
  </si>
  <si>
    <t>Demonstrate appropriate use of naming conventions</t>
  </si>
  <si>
    <t>Output data (e.g. print (my_var))</t>
  </si>
  <si>
    <t>Obtain input from the keyboard in a program</t>
  </si>
  <si>
    <t>Differentiate between the data types; integer, real, Boolean, character, string</t>
  </si>
  <si>
    <t>Cast variables by calling a function that will return a new value of the desired data type</t>
  </si>
  <si>
    <t>Define runtime errors in programs</t>
  </si>
  <si>
    <t>Define validation checks</t>
  </si>
  <si>
    <t>Identify flowchart symbols and describe how to use them (start, end, input, output, subroutine)</t>
  </si>
  <si>
    <t>Translate a flowchart into a program sequence</t>
  </si>
  <si>
    <t>Design a flowchart for a program</t>
  </si>
  <si>
    <t>Programming part 2 - Selection</t>
  </si>
  <si>
    <t>Be able to locate information using the language documentation</t>
  </si>
  <si>
    <t>Import modules into your code</t>
  </si>
  <si>
    <t>Demonstrate how to generate random numbers</t>
  </si>
  <si>
    <t>Evaluate arithmetic expressions using rules of operator precedence (BIDMAS)</t>
  </si>
  <si>
    <t>Write and use expressions that use arithmetic operators (add, subtract, multiply, real division, integer division, MOD, to the power)</t>
  </si>
  <si>
    <t>Assign expressions to variables</t>
  </si>
  <si>
    <t xml:space="preserve">Define a condition as an expression that can be evaluated to either True or </t>
  </si>
  <si>
    <t>Identify flowchart symbols and describe how to use them (decision)</t>
  </si>
  <si>
    <t>Identify that selection uses conditions to control the flow of execution</t>
  </si>
  <si>
    <t>Walkthrough code that includes selection (if, elif, else)</t>
  </si>
  <si>
    <t>Use selection statements in a program</t>
  </si>
  <si>
    <t>Identify when selection statements should be used in programs</t>
  </si>
  <si>
    <t>Write and use expressions that use comparison operators (equal to, not equal to, less than, greater than, less than or equal to, greater than or equal to)</t>
  </si>
  <si>
    <t>Describe how Boolean/logical operators can be used in expressions</t>
  </si>
  <si>
    <t>Walkthrough code that use conditions with Boolean/logical operators (AND, OR)</t>
  </si>
  <si>
    <t>Write and use expressions that use Boolean/logical operators (AND, OR)</t>
  </si>
  <si>
    <t>Define nested selection</t>
  </si>
  <si>
    <t>Walk through code that uses nested selection</t>
  </si>
  <si>
    <t>Modify a program that uses nested selection</t>
  </si>
  <si>
    <t>Programming part 3 - Iteration</t>
  </si>
  <si>
    <t>Define iteration as a group of instructions that are repeatedly executed</t>
  </si>
  <si>
    <t>Modify a program to incorporate a while loop</t>
  </si>
  <si>
    <t>Use a trace table to walkthrough code that uses a while loop</t>
  </si>
  <si>
    <t>Use a trace table to detect and correct errors in programs</t>
  </si>
  <si>
    <t>Define a for loop</t>
  </si>
  <si>
    <t>Walk through code that uses a for loop</t>
  </si>
  <si>
    <t>Modify a program that uses a for loop</t>
  </si>
  <si>
    <t>Compare a while loop and a for loop</t>
  </si>
  <si>
    <t>Determine the need for validation checks</t>
  </si>
  <si>
    <t>Use iteration to perform validation checks</t>
  </si>
  <si>
    <t>Describe the purpose of pseudocode</t>
  </si>
  <si>
    <t>Translate pseudocode into a program</t>
  </si>
  <si>
    <t>Design and build a program using pseudocode</t>
  </si>
  <si>
    <t>Programming part 4 - Subroutines</t>
  </si>
  <si>
    <t>Describe a subroutine</t>
  </si>
  <si>
    <t>Describe the purpose of parameters in subroutines</t>
  </si>
  <si>
    <t>Use procedures that accept arguments through parameters</t>
  </si>
  <si>
    <t>Describe how subroutines are used for decomposition</t>
  </si>
  <si>
    <t>List the advantages of subroutines</t>
  </si>
  <si>
    <t>Explain the difference between a function and a procedure</t>
  </si>
  <si>
    <t>Use trace tables to investigate functions</t>
  </si>
  <si>
    <t>Use functions to return values in programs</t>
  </si>
  <si>
    <t>Describe scope of variables</t>
  </si>
  <si>
    <t>Describe how parameters can reduce the need for global variables</t>
  </si>
  <si>
    <t>Identify when to use global variables</t>
  </si>
  <si>
    <t>Describe a constant</t>
  </si>
  <si>
    <t>Use a truth table</t>
  </si>
  <si>
    <t>Describe the function of an XOR operator</t>
  </si>
  <si>
    <t>Design and create a function for an XOR operator</t>
  </si>
  <si>
    <t>Describe the structured approach to programming</t>
  </si>
  <si>
    <t>Explain the advantages of the structured approach</t>
  </si>
  <si>
    <t>Use the structured approach in programming</t>
  </si>
  <si>
    <t>Describe iterative testing</t>
  </si>
  <si>
    <t>Describe the types of testing (erroneous, boundary, normal)</t>
  </si>
  <si>
    <t>Design and create a program</t>
  </si>
  <si>
    <t>Programming part 5 - Strings and lists</t>
  </si>
  <si>
    <t>Define the term GUI</t>
  </si>
  <si>
    <t>Import third-party libraries</t>
  </si>
  <si>
    <t>Use guizero to create an event-driven program that uses a GUI</t>
  </si>
  <si>
    <t>Describe the function of string operators</t>
  </si>
  <si>
    <t>Use string handling techniques</t>
  </si>
  <si>
    <t>Use for loops with string operations</t>
  </si>
  <si>
    <t>Use a substring in a program</t>
  </si>
  <si>
    <t>Use the in operator to check for a substring</t>
  </si>
  <si>
    <t>Use chr() and ord() to perform ASCII conversions</t>
  </si>
  <si>
    <t>Create a program that uses string handling techniques</t>
  </si>
  <si>
    <t>Define a data structure</t>
  </si>
  <si>
    <t>Define a list and an array</t>
  </si>
  <si>
    <t>Describe the differences between lists and arrays</t>
  </si>
  <si>
    <t>Use a list in a program</t>
  </si>
  <si>
    <t>Append to a list</t>
  </si>
  <si>
    <t>Traverse a list of elements</t>
  </si>
  <si>
    <t>Use list methods</t>
  </si>
  <si>
    <t>Create a function that returns a list</t>
  </si>
  <si>
    <t>Import custom built functions</t>
  </si>
  <si>
    <t>Use lists to display output on a physical computing device</t>
  </si>
  <si>
    <t>Use randomisation to append items to a list</t>
  </si>
  <si>
    <t>Define a 2D array and a list</t>
  </si>
  <si>
    <t>Use a 2D list in a program</t>
  </si>
  <si>
    <t>Use a 2D list as part of a programming challenge</t>
  </si>
  <si>
    <t>Programming part 6 - Dictionaries and datafiles</t>
  </si>
  <si>
    <t>Describe the record data structure</t>
  </si>
  <si>
    <t>Use a dictionary to represent a record in a program</t>
  </si>
  <si>
    <t>Use a dictionary with a list to represent records in a database</t>
  </si>
  <si>
    <t>Describe the dictionary data structure</t>
  </si>
  <si>
    <t>Use a dictionary to produce key-value pairs</t>
  </si>
  <si>
    <t>Determine the purpose of external data files</t>
  </si>
  <si>
    <t>Read data from an external text file</t>
  </si>
  <si>
    <t>Write to text files</t>
  </si>
  <si>
    <t>Append to text files</t>
  </si>
  <si>
    <t>Describe a CSV file</t>
  </si>
  <si>
    <t>Read from a CSV file</t>
  </si>
  <si>
    <t>Use the split() method</t>
  </si>
  <si>
    <t>Select data from a collection of values</t>
  </si>
  <si>
    <t>Write data from a 1D list to a CSV file</t>
  </si>
  <si>
    <t>Write data from a 2D list to a CSV file</t>
  </si>
  <si>
    <t>Determine the good habits of a programmer</t>
  </si>
  <si>
    <t>Explore alternative approaches to programming solutions</t>
  </si>
  <si>
    <t>Append to a CSV file</t>
  </si>
  <si>
    <t>Write success criteria for a challenging project</t>
  </si>
  <si>
    <t>Design the program for a challenging project using flowchart or pseudocode</t>
  </si>
  <si>
    <t>Create the solution for the battle boats program</t>
  </si>
  <si>
    <t>Perform final testing of the solution to a challenging problem</t>
  </si>
  <si>
    <t>Evaluate a challenging program</t>
  </si>
  <si>
    <t>RPF Computing Taxonomy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</si>
</sst>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rgb="FF000000"/>
      <name val="Arial"/>
      <scheme val="minor"/>
    </font>
    <font>
      <b/>
      <sz val="24"/>
      <color theme="1"/>
      <name val="Roboto"/>
    </font>
    <font>
      <sz val="10"/>
      <name val="Arial"/>
      <family val="2"/>
    </font>
    <font>
      <sz val="14"/>
      <color theme="1"/>
      <name val="Roboto"/>
    </font>
    <font>
      <sz val="10"/>
      <color theme="1"/>
      <name val="Roboto"/>
    </font>
    <font>
      <sz val="12"/>
      <color theme="1"/>
      <name val="Roboto"/>
    </font>
    <font>
      <b/>
      <sz val="10"/>
      <color theme="1"/>
      <name val="Roboto"/>
    </font>
    <font>
      <b/>
      <sz val="10"/>
      <color rgb="FFFFFFFF"/>
      <name val="Roboto"/>
    </font>
    <font>
      <b/>
      <sz val="18"/>
      <color rgb="FF000000"/>
      <name val="Docs-Roboto"/>
    </font>
    <font>
      <sz val="10"/>
      <color theme="1"/>
      <name val="Roboto"/>
    </font>
    <font>
      <u/>
      <sz val="12"/>
      <color rgb="FF0000FF"/>
      <name val="Roboto"/>
    </font>
    <font>
      <sz val="10"/>
      <color rgb="FFFFFFFF"/>
      <name val="Arial"/>
      <family val="2"/>
      <scheme val="minor"/>
    </font>
    <font>
      <b/>
      <sz val="10"/>
      <color rgb="FFFFFFFF"/>
      <name val="Arial"/>
      <family val="2"/>
      <scheme val="minor"/>
    </font>
    <font>
      <sz val="10"/>
      <color theme="1"/>
      <name val="Arial"/>
      <family val="2"/>
      <scheme val="minor"/>
    </font>
    <font>
      <sz val="10"/>
      <color rgb="FFCCCCCC"/>
      <name val="Arial"/>
      <family val="2"/>
      <scheme val="minor"/>
    </font>
    <font>
      <b/>
      <sz val="10"/>
      <color theme="1"/>
      <name val="Arial"/>
      <family val="2"/>
      <scheme val="minor"/>
    </font>
    <font>
      <sz val="6"/>
      <color rgb="FFEFEFEF"/>
      <name val="Arial"/>
      <family val="2"/>
      <scheme val="minor"/>
    </font>
    <font>
      <sz val="6"/>
      <color theme="1"/>
      <name val="Arial"/>
      <family val="2"/>
      <scheme val="minor"/>
    </font>
    <font>
      <sz val="10"/>
      <color rgb="FFEFEFEF"/>
      <name val="Arial"/>
      <family val="2"/>
      <scheme val="minor"/>
    </font>
    <font>
      <sz val="6"/>
      <color rgb="FFCCCCCC"/>
      <name val="Arial"/>
      <family val="2"/>
      <scheme val="minor"/>
    </font>
    <font>
      <sz val="12"/>
      <name val="Roboto"/>
    </font>
    <font>
      <b/>
      <sz val="12"/>
      <name val="Roboto"/>
    </font>
    <font>
      <u/>
      <sz val="12"/>
      <color rgb="FF1155CC"/>
      <name val="Roboto"/>
    </font>
  </fonts>
  <fills count="4">
    <fill>
      <patternFill patternType="none"/>
    </fill>
    <fill>
      <patternFill patternType="gray125"/>
    </fill>
    <fill>
      <patternFill patternType="solid">
        <fgColor rgb="FFCD2355"/>
        <bgColor rgb="FFCD2355"/>
      </patternFill>
    </fill>
    <fill>
      <patternFill patternType="solid">
        <fgColor rgb="FFFFFFFF"/>
        <bgColor rgb="FFFFFFFF"/>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style="thin">
        <color rgb="FF000000"/>
      </right>
      <top/>
      <bottom style="dotted">
        <color rgb="FFB7B7B7"/>
      </bottom>
      <diagonal/>
    </border>
    <border>
      <left/>
      <right style="dotted">
        <color rgb="FFB7B7B7"/>
      </right>
      <top/>
      <bottom style="dotted">
        <color rgb="FFB7B7B7"/>
      </bottom>
      <diagonal/>
    </border>
    <border>
      <left style="thin">
        <color rgb="FF000000"/>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style="thin">
        <color rgb="FF000000"/>
      </right>
      <top style="dotted">
        <color rgb="FFB7B7B7"/>
      </top>
      <bottom style="dotted">
        <color rgb="FFB7B7B7"/>
      </bottom>
      <diagonal/>
    </border>
    <border>
      <left/>
      <right style="dotted">
        <color rgb="FFB7B7B7"/>
      </right>
      <top style="dotted">
        <color rgb="FFB7B7B7"/>
      </top>
      <bottom style="dotted">
        <color rgb="FFB7B7B7"/>
      </bottom>
      <diagonal/>
    </border>
    <border>
      <left style="thin">
        <color rgb="FF000000"/>
      </left>
      <right style="dotted">
        <color rgb="FFB7B7B7"/>
      </right>
      <top style="dotted">
        <color rgb="FFB7B7B7"/>
      </top>
      <bottom style="thin">
        <color rgb="FF000000"/>
      </bottom>
      <diagonal/>
    </border>
    <border>
      <left style="dotted">
        <color rgb="FFB7B7B7"/>
      </left>
      <right style="dotted">
        <color rgb="FFB7B7B7"/>
      </right>
      <top style="dotted">
        <color rgb="FFB7B7B7"/>
      </top>
      <bottom style="thin">
        <color rgb="FF000000"/>
      </bottom>
      <diagonal/>
    </border>
    <border>
      <left style="dotted">
        <color rgb="FFB7B7B7"/>
      </left>
      <right style="thin">
        <color rgb="FF000000"/>
      </right>
      <top style="dotted">
        <color rgb="FFB7B7B7"/>
      </top>
      <bottom style="thin">
        <color rgb="FF000000"/>
      </bottom>
      <diagonal/>
    </border>
    <border>
      <left/>
      <right style="dotted">
        <color rgb="FFB7B7B7"/>
      </right>
      <top style="dotted">
        <color rgb="FFB7B7B7"/>
      </top>
      <bottom style="thin">
        <color rgb="FF000000"/>
      </bottom>
      <diagonal/>
    </border>
    <border>
      <left style="thin">
        <color rgb="FF000000"/>
      </left>
      <right style="dotted">
        <color rgb="FFB7B7B7"/>
      </right>
      <top style="thin">
        <color rgb="FF000000"/>
      </top>
      <bottom style="dotted">
        <color rgb="FFB7B7B7"/>
      </bottom>
      <diagonal/>
    </border>
    <border>
      <left style="dotted">
        <color rgb="FFB7B7B7"/>
      </left>
      <right style="dotted">
        <color rgb="FFB7B7B7"/>
      </right>
      <top style="thin">
        <color rgb="FF000000"/>
      </top>
      <bottom style="dotted">
        <color rgb="FFB7B7B7"/>
      </bottom>
      <diagonal/>
    </border>
    <border>
      <left style="dotted">
        <color rgb="FFB7B7B7"/>
      </left>
      <right style="thin">
        <color rgb="FF000000"/>
      </right>
      <top style="thin">
        <color rgb="FF000000"/>
      </top>
      <bottom style="dotted">
        <color rgb="FFB7B7B7"/>
      </bottom>
      <diagonal/>
    </border>
    <border>
      <left/>
      <right style="dotted">
        <color rgb="FFB7B7B7"/>
      </right>
      <top style="thin">
        <color rgb="FF000000"/>
      </top>
      <bottom style="dotted">
        <color rgb="FFB7B7B7"/>
      </bottom>
      <diagonal/>
    </border>
  </borders>
  <cellStyleXfs count="1">
    <xf numFmtId="0" fontId="0" fillId="0" borderId="0"/>
  </cellStyleXfs>
  <cellXfs count="111">
    <xf numFmtId="0" fontId="0" fillId="0" borderId="0" xfId="0"/>
    <xf numFmtId="0" fontId="3" fillId="0" borderId="6" xfId="0" applyFont="1" applyBorder="1" applyAlignment="1">
      <alignment horizontal="center" vertical="center"/>
    </xf>
    <xf numFmtId="0" fontId="6" fillId="0" borderId="0" xfId="0" applyFont="1"/>
    <xf numFmtId="0" fontId="6" fillId="0" borderId="0" xfId="0" applyFont="1" applyAlignment="1">
      <alignment vertical="center" wrapText="1"/>
    </xf>
    <xf numFmtId="0" fontId="6" fillId="0" borderId="0" xfId="0" applyFont="1" applyAlignment="1">
      <alignment horizontal="center"/>
    </xf>
    <xf numFmtId="0" fontId="7" fillId="2" borderId="6" xfId="0" applyFont="1" applyFill="1" applyBorder="1" applyAlignment="1">
      <alignment horizontal="left" vertical="center"/>
    </xf>
    <xf numFmtId="0" fontId="8" fillId="3" borderId="0" xfId="0" applyFont="1" applyFill="1" applyAlignment="1">
      <alignment horizontal="left" vertical="center"/>
    </xf>
    <xf numFmtId="0" fontId="5" fillId="0" borderId="0" xfId="0" applyFont="1" applyAlignment="1">
      <alignment horizontal="left" vertical="top" wrapText="1"/>
    </xf>
    <xf numFmtId="0" fontId="9" fillId="0" borderId="6" xfId="0" applyFont="1" applyBorder="1" applyAlignment="1">
      <alignment horizontal="left" vertical="center" wrapText="1"/>
    </xf>
    <xf numFmtId="0" fontId="9" fillId="0" borderId="0" xfId="0" applyFont="1"/>
    <xf numFmtId="0" fontId="9" fillId="0" borderId="0" xfId="0" applyFont="1" applyAlignment="1">
      <alignment wrapText="1"/>
    </xf>
    <xf numFmtId="0" fontId="11" fillId="0" borderId="0" xfId="0" applyFont="1"/>
    <xf numFmtId="0" fontId="12" fillId="0" borderId="12" xfId="0" applyFont="1" applyBorder="1" applyAlignment="1">
      <alignment horizontal="center" wrapText="1"/>
    </xf>
    <xf numFmtId="0" fontId="4" fillId="0" borderId="16" xfId="0" applyFont="1" applyBorder="1" applyAlignment="1">
      <alignment wrapText="1"/>
    </xf>
    <xf numFmtId="0" fontId="14" fillId="0" borderId="0" xfId="0" applyFont="1" applyAlignment="1">
      <alignment horizontal="left" vertical="center"/>
    </xf>
    <xf numFmtId="0" fontId="11" fillId="0" borderId="7" xfId="0" applyFont="1" applyBorder="1"/>
    <xf numFmtId="0" fontId="15" fillId="0" borderId="10" xfId="0" applyFont="1" applyBorder="1" applyAlignment="1">
      <alignment horizontal="center" wrapText="1"/>
    </xf>
    <xf numFmtId="0" fontId="15" fillId="0" borderId="11" xfId="0" applyFont="1" applyBorder="1" applyAlignment="1">
      <alignment horizontal="left" wrapText="1"/>
    </xf>
    <xf numFmtId="0" fontId="15" fillId="0" borderId="12" xfId="0" applyFont="1" applyBorder="1" applyAlignment="1">
      <alignment horizontal="left" wrapText="1"/>
    </xf>
    <xf numFmtId="0" fontId="15" fillId="0" borderId="13" xfId="0" applyFont="1" applyBorder="1" applyAlignment="1">
      <alignment horizontal="left" wrapText="1"/>
    </xf>
    <xf numFmtId="0" fontId="13" fillId="0" borderId="14" xfId="0" applyFont="1" applyBorder="1" applyAlignment="1">
      <alignment horizontal="center" vertical="center"/>
    </xf>
    <xf numFmtId="0" fontId="13" fillId="0" borderId="14" xfId="0" applyFont="1" applyBorder="1" applyAlignment="1">
      <alignment vertical="center" wrapText="1"/>
    </xf>
    <xf numFmtId="0" fontId="13" fillId="0" borderId="14" xfId="0" applyFont="1" applyBorder="1" applyAlignment="1">
      <alignment wrapText="1"/>
    </xf>
    <xf numFmtId="0" fontId="16" fillId="0" borderId="18" xfId="0" applyFont="1" applyBorder="1" applyAlignment="1">
      <alignment horizontal="left" vertical="center" textRotation="90"/>
    </xf>
    <xf numFmtId="0" fontId="17" fillId="0" borderId="19" xfId="0" applyFont="1" applyBorder="1" applyAlignment="1">
      <alignment horizontal="left" vertical="center" textRotation="90"/>
    </xf>
    <xf numFmtId="0" fontId="16" fillId="0" borderId="19" xfId="0" applyFont="1" applyBorder="1" applyAlignment="1">
      <alignment horizontal="left" vertical="center" textRotation="90"/>
    </xf>
    <xf numFmtId="0" fontId="16" fillId="0" borderId="20" xfId="0" applyFont="1" applyBorder="1" applyAlignment="1">
      <alignment horizontal="left" vertical="center" textRotation="90"/>
    </xf>
    <xf numFmtId="0" fontId="18" fillId="0" borderId="14" xfId="0" applyFont="1" applyBorder="1" applyAlignment="1">
      <alignment horizontal="left" vertical="center"/>
    </xf>
    <xf numFmtId="0" fontId="13" fillId="0" borderId="21" xfId="0" applyFont="1" applyBorder="1" applyAlignment="1">
      <alignment horizontal="left" vertical="center"/>
    </xf>
    <xf numFmtId="0" fontId="13" fillId="0" borderId="15" xfId="0" applyFont="1" applyBorder="1" applyAlignment="1">
      <alignment horizontal="center" vertical="center"/>
    </xf>
    <xf numFmtId="0" fontId="13" fillId="0" borderId="15" xfId="0" applyFont="1" applyBorder="1" applyAlignment="1">
      <alignment vertical="center" wrapText="1"/>
    </xf>
    <xf numFmtId="0" fontId="13" fillId="0" borderId="15" xfId="0" applyFont="1" applyBorder="1" applyAlignment="1">
      <alignment wrapText="1"/>
    </xf>
    <xf numFmtId="0" fontId="16" fillId="0" borderId="22" xfId="0" applyFont="1" applyBorder="1" applyAlignment="1">
      <alignment horizontal="left" vertical="center" textRotation="90"/>
    </xf>
    <xf numFmtId="0" fontId="17" fillId="0" borderId="23"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8" fillId="0" borderId="15" xfId="0" applyFont="1" applyBorder="1" applyAlignment="1">
      <alignment horizontal="left" vertical="center"/>
    </xf>
    <xf numFmtId="0" fontId="13" fillId="0" borderId="25" xfId="0" applyFont="1" applyBorder="1" applyAlignment="1">
      <alignment horizontal="left" vertical="center"/>
    </xf>
    <xf numFmtId="0" fontId="13" fillId="0" borderId="16" xfId="0" applyFont="1" applyBorder="1" applyAlignment="1">
      <alignment horizontal="center" vertical="center"/>
    </xf>
    <xf numFmtId="0" fontId="13" fillId="0" borderId="16" xfId="0" applyFont="1" applyBorder="1" applyAlignment="1">
      <alignment vertical="center" wrapText="1"/>
    </xf>
    <xf numFmtId="0" fontId="13" fillId="0" borderId="16" xfId="0" applyFont="1" applyBorder="1" applyAlignment="1">
      <alignment wrapText="1"/>
    </xf>
    <xf numFmtId="0" fontId="16" fillId="0" borderId="26" xfId="0" applyFont="1" applyBorder="1" applyAlignment="1">
      <alignment horizontal="left" vertical="center" textRotation="90"/>
    </xf>
    <xf numFmtId="0" fontId="17" fillId="0" borderId="27"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8" xfId="0" applyFont="1" applyBorder="1" applyAlignment="1">
      <alignment horizontal="left" vertical="center" textRotation="90"/>
    </xf>
    <xf numFmtId="0" fontId="18" fillId="0" borderId="16" xfId="0" applyFont="1" applyBorder="1" applyAlignment="1">
      <alignment horizontal="left" vertical="center"/>
    </xf>
    <xf numFmtId="0" fontId="13" fillId="0" borderId="29" xfId="0" applyFont="1" applyBorder="1" applyAlignment="1">
      <alignment horizontal="left" vertical="center"/>
    </xf>
    <xf numFmtId="0" fontId="13" fillId="0" borderId="17" xfId="0" applyFont="1" applyBorder="1" applyAlignment="1">
      <alignment horizontal="center" vertical="center"/>
    </xf>
    <xf numFmtId="0" fontId="13" fillId="0" borderId="17" xfId="0" applyFont="1" applyBorder="1" applyAlignment="1">
      <alignment vertical="center" wrapText="1"/>
    </xf>
    <xf numFmtId="0" fontId="13" fillId="0" borderId="17" xfId="0" applyFont="1" applyBorder="1" applyAlignment="1">
      <alignment wrapText="1"/>
    </xf>
    <xf numFmtId="0" fontId="19" fillId="0" borderId="30" xfId="0" applyFont="1" applyBorder="1" applyAlignment="1">
      <alignment horizontal="left" vertical="center" textRotation="90"/>
    </xf>
    <xf numFmtId="0" fontId="19" fillId="0" borderId="31" xfId="0" applyFont="1" applyBorder="1" applyAlignment="1">
      <alignment horizontal="left" vertical="center" textRotation="90"/>
    </xf>
    <xf numFmtId="0" fontId="17" fillId="0" borderId="31" xfId="0" applyFont="1" applyBorder="1" applyAlignment="1">
      <alignment horizontal="left" vertical="center" textRotation="90"/>
    </xf>
    <xf numFmtId="0" fontId="19" fillId="0" borderId="32" xfId="0" applyFont="1" applyBorder="1" applyAlignment="1">
      <alignment horizontal="left" vertical="center" textRotation="90"/>
    </xf>
    <xf numFmtId="0" fontId="13" fillId="0" borderId="17" xfId="0" applyFont="1" applyBorder="1" applyAlignment="1">
      <alignment horizontal="left" vertical="center"/>
    </xf>
    <xf numFmtId="0" fontId="14" fillId="0" borderId="33" xfId="0" applyFont="1" applyBorder="1" applyAlignment="1">
      <alignment horizontal="left" vertical="center"/>
    </xf>
    <xf numFmtId="0" fontId="19" fillId="0" borderId="22" xfId="0" applyFont="1" applyBorder="1" applyAlignment="1">
      <alignment horizontal="left" vertical="center" textRotation="90"/>
    </xf>
    <xf numFmtId="0" fontId="19" fillId="0" borderId="23" xfId="0" applyFont="1" applyBorder="1" applyAlignment="1">
      <alignment horizontal="left" vertical="center" textRotation="90"/>
    </xf>
    <xf numFmtId="0" fontId="19" fillId="0" borderId="24" xfId="0" applyFont="1" applyBorder="1" applyAlignment="1">
      <alignment horizontal="left" vertical="center" textRotation="90"/>
    </xf>
    <xf numFmtId="0" fontId="13" fillId="0" borderId="15" xfId="0" applyFont="1" applyBorder="1" applyAlignment="1">
      <alignment horizontal="left" vertical="center"/>
    </xf>
    <xf numFmtId="0" fontId="14" fillId="0" borderId="25" xfId="0" applyFont="1" applyBorder="1" applyAlignment="1">
      <alignment horizontal="left" vertical="center"/>
    </xf>
    <xf numFmtId="0" fontId="19" fillId="0" borderId="26" xfId="0" applyFont="1" applyBorder="1" applyAlignment="1">
      <alignment horizontal="left" vertical="center" textRotation="90"/>
    </xf>
    <xf numFmtId="0" fontId="19" fillId="0" borderId="27" xfId="0" applyFont="1" applyBorder="1" applyAlignment="1">
      <alignment horizontal="left" vertical="center" textRotation="90"/>
    </xf>
    <xf numFmtId="0" fontId="19" fillId="0" borderId="28" xfId="0" applyFont="1" applyBorder="1" applyAlignment="1">
      <alignment horizontal="left" vertical="center" textRotation="90"/>
    </xf>
    <xf numFmtId="0" fontId="13" fillId="0" borderId="16" xfId="0" applyFont="1" applyBorder="1" applyAlignment="1">
      <alignment horizontal="left" vertical="center"/>
    </xf>
    <xf numFmtId="0" fontId="14" fillId="0" borderId="29" xfId="0" applyFont="1" applyBorder="1" applyAlignment="1">
      <alignment horizontal="left" vertical="center"/>
    </xf>
    <xf numFmtId="0" fontId="16" fillId="0" borderId="30" xfId="0" applyFont="1" applyBorder="1" applyAlignment="1">
      <alignment horizontal="left" vertical="center" textRotation="90"/>
    </xf>
    <xf numFmtId="0" fontId="16" fillId="0" borderId="31" xfId="0" applyFont="1" applyBorder="1" applyAlignment="1">
      <alignment horizontal="left" vertical="center" textRotation="90"/>
    </xf>
    <xf numFmtId="0" fontId="16" fillId="0" borderId="32" xfId="0" applyFont="1" applyBorder="1" applyAlignment="1">
      <alignment horizontal="left" vertical="center" textRotation="90"/>
    </xf>
    <xf numFmtId="0" fontId="18" fillId="0" borderId="17" xfId="0" applyFont="1" applyBorder="1" applyAlignment="1">
      <alignment horizontal="left" vertical="center"/>
    </xf>
    <xf numFmtId="0" fontId="13" fillId="0" borderId="33" xfId="0" applyFont="1" applyBorder="1" applyAlignment="1">
      <alignment horizontal="left" vertical="center"/>
    </xf>
    <xf numFmtId="0" fontId="14" fillId="0" borderId="17"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7" fillId="0" borderId="30" xfId="0" applyFont="1" applyBorder="1" applyAlignment="1">
      <alignment horizontal="left" vertical="center" textRotation="90"/>
    </xf>
    <xf numFmtId="0" fontId="17" fillId="0" borderId="22" xfId="0" applyFont="1" applyBorder="1" applyAlignment="1">
      <alignment horizontal="left" vertical="center" textRotation="90"/>
    </xf>
    <xf numFmtId="0" fontId="17" fillId="0" borderId="26" xfId="0" applyFont="1" applyBorder="1" applyAlignment="1">
      <alignment horizontal="left" vertical="center" textRotation="90"/>
    </xf>
    <xf numFmtId="0" fontId="17" fillId="0" borderId="32" xfId="0" applyFont="1" applyBorder="1" applyAlignment="1">
      <alignment horizontal="left" vertical="center" textRotation="90"/>
    </xf>
    <xf numFmtId="0" fontId="17" fillId="0" borderId="24" xfId="0" applyFont="1" applyBorder="1" applyAlignment="1">
      <alignment horizontal="left" vertical="center" textRotation="90"/>
    </xf>
    <xf numFmtId="0" fontId="17" fillId="0" borderId="28" xfId="0" applyFont="1" applyBorder="1" applyAlignment="1">
      <alignment horizontal="left" vertical="center" textRotation="90"/>
    </xf>
    <xf numFmtId="0" fontId="13"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wrapText="1"/>
    </xf>
    <xf numFmtId="0" fontId="17" fillId="0" borderId="0" xfId="0" applyFont="1" applyAlignment="1">
      <alignment horizontal="left" vertical="center" textRotation="90"/>
    </xf>
    <xf numFmtId="0" fontId="19" fillId="0" borderId="0" xfId="0" applyFont="1" applyAlignment="1">
      <alignment horizontal="left" vertical="center" textRotation="90"/>
    </xf>
    <xf numFmtId="0" fontId="13" fillId="0" borderId="0" xfId="0" applyFont="1"/>
    <xf numFmtId="0" fontId="11" fillId="0" borderId="7" xfId="0" applyFont="1" applyBorder="1" applyAlignment="1">
      <alignment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8" fillId="0" borderId="17" xfId="0" applyFont="1" applyBorder="1" applyAlignment="1">
      <alignment horizontal="left" vertical="center" wrapText="1"/>
    </xf>
    <xf numFmtId="0" fontId="14" fillId="0" borderId="17"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7" fillId="2" borderId="2" xfId="0" applyFont="1" applyFill="1" applyBorder="1" applyAlignment="1">
      <alignment horizontal="center"/>
    </xf>
    <xf numFmtId="0" fontId="2" fillId="0" borderId="3" xfId="0" applyFont="1" applyBorder="1"/>
    <xf numFmtId="0" fontId="2" fillId="0" borderId="4" xfId="0" applyFont="1" applyBorder="1"/>
    <xf numFmtId="0" fontId="10" fillId="0" borderId="0" xfId="0" applyFont="1" applyAlignment="1">
      <alignment horizontal="left" vertical="top" wrapText="1"/>
    </xf>
    <xf numFmtId="0" fontId="0" fillId="0" borderId="0" xfId="0"/>
    <xf numFmtId="0" fontId="5" fillId="0" borderId="0" xfId="0" applyFont="1" applyAlignment="1">
      <alignment vertical="top" wrapText="1"/>
    </xf>
    <xf numFmtId="0" fontId="6" fillId="0" borderId="0" xfId="0" applyFont="1"/>
    <xf numFmtId="0" fontId="1" fillId="0" borderId="0" xfId="0" applyFont="1" applyAlignment="1">
      <alignment wrapText="1"/>
    </xf>
    <xf numFmtId="0" fontId="7" fillId="2" borderId="1" xfId="0" applyFont="1" applyFill="1" applyBorder="1" applyAlignment="1">
      <alignment vertical="center" wrapText="1"/>
    </xf>
    <xf numFmtId="0" fontId="2" fillId="0" borderId="5" xfId="0" applyFont="1" applyBorder="1"/>
    <xf numFmtId="0" fontId="15" fillId="0" borderId="8" xfId="0" applyFont="1" applyBorder="1" applyAlignment="1">
      <alignment horizontal="center" wrapText="1"/>
    </xf>
    <xf numFmtId="0" fontId="2" fillId="0" borderId="9" xfId="0" applyFont="1" applyBorder="1"/>
  </cellXfs>
  <cellStyles count="1">
    <cellStyle name="Normal" xfId="0" builtinId="0"/>
  </cellStyles>
  <dxfs count="6">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ont>
        <color rgb="FFCD2355"/>
      </font>
      <fill>
        <patternFill patternType="solid">
          <fgColor rgb="FFCD2355"/>
          <bgColor rgb="FFCD2355"/>
        </patternFill>
      </fill>
    </dxf>
    <dxf>
      <font>
        <color rgb="FF46AF4B"/>
      </font>
      <fill>
        <patternFill patternType="solid">
          <fgColor rgb="FF46AF4B"/>
          <bgColor rgb="FF46AF4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13</xdr:row>
      <xdr:rowOff>523875</xdr:rowOff>
    </xdr:from>
    <xdr:ext cx="5172075" cy="733425"/>
    <xdr:pic>
      <xdr:nvPicPr>
        <xdr:cNvPr id="2" name="image5.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0</xdr:row>
      <xdr:rowOff>200025</xdr:rowOff>
    </xdr:from>
    <xdr:ext cx="2190750" cy="666750"/>
    <xdr:pic>
      <xdr:nvPicPr>
        <xdr:cNvPr id="3" name="image2.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he-c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00"/>
  <sheetViews>
    <sheetView showGridLines="0" workbookViewId="0">
      <selection activeCell="J5" sqref="J5"/>
    </sheetView>
  </sheetViews>
  <sheetFormatPr baseColWidth="10" defaultColWidth="12.6640625" defaultRowHeight="15.75" customHeight="1"/>
  <cols>
    <col min="1" max="1" width="3.6640625" customWidth="1"/>
    <col min="2" max="3" width="10.6640625" customWidth="1"/>
    <col min="4" max="4" width="3.6640625" customWidth="1"/>
    <col min="5" max="5" width="42.83203125" customWidth="1"/>
    <col min="6" max="6" width="3.6640625" customWidth="1"/>
    <col min="7" max="7" width="9.83203125" customWidth="1"/>
    <col min="8" max="8" width="60.6640625" customWidth="1"/>
    <col min="9" max="9" width="3.6640625" customWidth="1"/>
    <col min="12" max="12" width="38.5" customWidth="1"/>
  </cols>
  <sheetData>
    <row r="1" spans="1:12" ht="15.75" customHeight="1">
      <c r="A1" s="2"/>
      <c r="B1" s="2"/>
      <c r="C1" s="2"/>
      <c r="D1" s="2"/>
      <c r="E1" s="2"/>
      <c r="F1" s="2"/>
      <c r="G1" s="3"/>
      <c r="H1" s="3"/>
      <c r="I1" s="2"/>
      <c r="J1" s="4"/>
      <c r="K1" s="4"/>
      <c r="L1" s="4"/>
    </row>
    <row r="2" spans="1:12" ht="15.75" customHeight="1">
      <c r="A2" s="2"/>
      <c r="B2" s="105"/>
      <c r="C2" s="105"/>
      <c r="D2" s="2"/>
      <c r="E2" s="106"/>
      <c r="F2" s="2"/>
      <c r="G2" s="3"/>
      <c r="H2" s="3"/>
      <c r="I2" s="2"/>
      <c r="J2" s="4"/>
      <c r="K2" s="4"/>
      <c r="L2" s="4"/>
    </row>
    <row r="3" spans="1:12" ht="15.75" customHeight="1">
      <c r="A3" s="2"/>
      <c r="B3" s="103"/>
      <c r="C3" s="103"/>
      <c r="D3" s="2"/>
      <c r="E3" s="103"/>
      <c r="F3" s="2"/>
      <c r="G3" s="3"/>
      <c r="H3" s="3"/>
      <c r="I3" s="2"/>
      <c r="J3" s="4"/>
      <c r="K3" s="4"/>
      <c r="L3" s="4"/>
    </row>
    <row r="4" spans="1:12" ht="15.75" customHeight="1">
      <c r="A4" s="2"/>
      <c r="B4" s="103"/>
      <c r="C4" s="103"/>
      <c r="D4" s="2"/>
      <c r="E4" s="103"/>
      <c r="F4" s="2"/>
      <c r="G4" s="107" t="s">
        <v>0</v>
      </c>
      <c r="H4" s="107" t="s">
        <v>1</v>
      </c>
      <c r="I4" s="2"/>
      <c r="J4" s="99" t="s">
        <v>1418</v>
      </c>
      <c r="K4" s="100"/>
      <c r="L4" s="101"/>
    </row>
    <row r="5" spans="1:12" ht="15.75" customHeight="1">
      <c r="A5" s="2"/>
      <c r="B5" s="103"/>
      <c r="C5" s="103"/>
      <c r="D5" s="2"/>
      <c r="E5" s="103"/>
      <c r="F5" s="2"/>
      <c r="G5" s="108"/>
      <c r="H5" s="108"/>
      <c r="I5" s="2"/>
      <c r="J5" s="5" t="s">
        <v>2</v>
      </c>
      <c r="K5" s="5" t="s">
        <v>3</v>
      </c>
      <c r="L5" s="5" t="s">
        <v>4</v>
      </c>
    </row>
    <row r="6" spans="1:12" ht="41.25" customHeight="1">
      <c r="A6" s="2"/>
      <c r="B6" s="6" t="s">
        <v>5</v>
      </c>
      <c r="C6" s="7"/>
      <c r="D6" s="7"/>
      <c r="E6" s="7"/>
      <c r="F6" s="2"/>
      <c r="G6" s="1">
        <v>2.1</v>
      </c>
      <c r="H6" s="8" t="s">
        <v>27</v>
      </c>
      <c r="I6" s="2"/>
      <c r="J6" s="1" t="s">
        <v>6</v>
      </c>
      <c r="K6" s="8" t="s">
        <v>7</v>
      </c>
      <c r="L6" s="8" t="s">
        <v>28</v>
      </c>
    </row>
    <row r="7" spans="1:12" ht="41.25" customHeight="1">
      <c r="A7" s="2"/>
      <c r="B7" s="102" t="s">
        <v>29</v>
      </c>
      <c r="C7" s="103"/>
      <c r="D7" s="103"/>
      <c r="E7" s="103"/>
      <c r="F7" s="2"/>
      <c r="G7" s="1">
        <v>2.2000000000000002</v>
      </c>
      <c r="H7" s="8" t="s">
        <v>30</v>
      </c>
      <c r="I7" s="2"/>
      <c r="J7" s="1" t="s">
        <v>8</v>
      </c>
      <c r="K7" s="8" t="s">
        <v>9</v>
      </c>
      <c r="L7" s="8" t="s">
        <v>31</v>
      </c>
    </row>
    <row r="8" spans="1:12" ht="41.25" customHeight="1">
      <c r="A8" s="2"/>
      <c r="B8" s="103"/>
      <c r="C8" s="103"/>
      <c r="D8" s="103"/>
      <c r="E8" s="103"/>
      <c r="F8" s="2"/>
      <c r="G8" s="1">
        <v>2.2999999999999998</v>
      </c>
      <c r="H8" s="8" t="s">
        <v>32</v>
      </c>
      <c r="I8" s="9"/>
      <c r="J8" s="1" t="s">
        <v>10</v>
      </c>
      <c r="K8" s="8" t="s">
        <v>11</v>
      </c>
      <c r="L8" s="8" t="s">
        <v>33</v>
      </c>
    </row>
    <row r="9" spans="1:12" ht="41.25" customHeight="1">
      <c r="A9" s="9"/>
      <c r="B9" s="103"/>
      <c r="C9" s="103"/>
      <c r="D9" s="103"/>
      <c r="E9" s="103"/>
      <c r="F9" s="9"/>
      <c r="G9" s="1">
        <v>2.4</v>
      </c>
      <c r="H9" s="8" t="s">
        <v>34</v>
      </c>
      <c r="I9" s="9"/>
      <c r="J9" s="1" t="s">
        <v>12</v>
      </c>
      <c r="K9" s="8" t="s">
        <v>13</v>
      </c>
      <c r="L9" s="8" t="s">
        <v>35</v>
      </c>
    </row>
    <row r="10" spans="1:12" ht="41.25" customHeight="1">
      <c r="A10" s="9"/>
      <c r="B10" s="103"/>
      <c r="C10" s="103"/>
      <c r="D10" s="103"/>
      <c r="E10" s="103"/>
      <c r="F10" s="9"/>
      <c r="G10" s="1">
        <v>2.5</v>
      </c>
      <c r="H10" s="8" t="s">
        <v>36</v>
      </c>
      <c r="I10" s="9"/>
      <c r="J10" s="1" t="s">
        <v>14</v>
      </c>
      <c r="K10" s="8" t="s">
        <v>15</v>
      </c>
      <c r="L10" s="8" t="s">
        <v>37</v>
      </c>
    </row>
    <row r="11" spans="1:12" ht="56">
      <c r="A11" s="9"/>
      <c r="B11" s="103"/>
      <c r="C11" s="103"/>
      <c r="D11" s="103"/>
      <c r="E11" s="103"/>
      <c r="F11" s="9"/>
      <c r="G11" s="1">
        <v>2.6</v>
      </c>
      <c r="H11" s="8" t="s">
        <v>38</v>
      </c>
      <c r="I11" s="9"/>
      <c r="J11" s="1" t="s">
        <v>16</v>
      </c>
      <c r="K11" s="8" t="s">
        <v>17</v>
      </c>
      <c r="L11" s="8" t="s">
        <v>39</v>
      </c>
    </row>
    <row r="12" spans="1:12" ht="41.25" customHeight="1">
      <c r="A12" s="9"/>
      <c r="B12" s="103"/>
      <c r="C12" s="103"/>
      <c r="D12" s="103"/>
      <c r="E12" s="103"/>
      <c r="F12" s="9"/>
      <c r="G12" s="1">
        <v>2.7</v>
      </c>
      <c r="H12" s="8" t="s">
        <v>40</v>
      </c>
      <c r="I12" s="9"/>
      <c r="J12" s="1" t="s">
        <v>18</v>
      </c>
      <c r="K12" s="8" t="s">
        <v>19</v>
      </c>
      <c r="L12" s="8" t="s">
        <v>41</v>
      </c>
    </row>
    <row r="13" spans="1:12" ht="41.25" customHeight="1">
      <c r="A13" s="9"/>
      <c r="B13" s="103"/>
      <c r="C13" s="103"/>
      <c r="D13" s="103"/>
      <c r="E13" s="103"/>
      <c r="F13" s="9"/>
      <c r="G13" s="9"/>
      <c r="H13" s="9"/>
      <c r="I13" s="9"/>
      <c r="J13" s="1" t="s">
        <v>20</v>
      </c>
      <c r="K13" s="8" t="s">
        <v>21</v>
      </c>
      <c r="L13" s="8" t="s">
        <v>42</v>
      </c>
    </row>
    <row r="14" spans="1:12" ht="41.25" customHeight="1">
      <c r="A14" s="9"/>
      <c r="B14" s="103"/>
      <c r="C14" s="103"/>
      <c r="D14" s="103"/>
      <c r="E14" s="103"/>
      <c r="F14" s="9"/>
      <c r="G14" s="9"/>
      <c r="H14" s="10"/>
      <c r="I14" s="9"/>
      <c r="J14" s="1" t="s">
        <v>22</v>
      </c>
      <c r="K14" s="8" t="s">
        <v>23</v>
      </c>
      <c r="L14" s="8" t="s">
        <v>24</v>
      </c>
    </row>
    <row r="15" spans="1:12" ht="41.25" customHeight="1">
      <c r="A15" s="9"/>
      <c r="B15" s="104"/>
      <c r="C15" s="103"/>
      <c r="D15" s="103"/>
      <c r="E15" s="103"/>
      <c r="F15" s="9"/>
      <c r="G15" s="9"/>
      <c r="H15" s="10"/>
      <c r="I15" s="9"/>
      <c r="J15" s="1" t="s">
        <v>25</v>
      </c>
      <c r="K15" s="8" t="s">
        <v>26</v>
      </c>
      <c r="L15" s="8" t="s">
        <v>43</v>
      </c>
    </row>
    <row r="16" spans="1:12" ht="41.25" customHeight="1">
      <c r="A16" s="9"/>
      <c r="B16" s="103"/>
      <c r="C16" s="103"/>
      <c r="D16" s="103"/>
      <c r="E16" s="103"/>
      <c r="F16" s="9"/>
      <c r="G16" s="9"/>
      <c r="H16" s="10"/>
      <c r="I16" s="9"/>
      <c r="J16" s="9"/>
      <c r="K16" s="9"/>
      <c r="L16" s="9"/>
    </row>
    <row r="221" ht="13"/>
    <row r="222" ht="13"/>
    <row r="223" ht="13"/>
    <row r="224" ht="13"/>
    <row r="225" ht="13"/>
    <row r="226" ht="13"/>
    <row r="227" ht="13"/>
    <row r="228" ht="13"/>
    <row r="229" ht="13"/>
    <row r="230" ht="13"/>
    <row r="231" ht="13"/>
    <row r="232" ht="13"/>
    <row r="233" ht="13"/>
    <row r="234" ht="13"/>
    <row r="235" ht="13"/>
    <row r="236" ht="13"/>
    <row r="237" ht="13"/>
    <row r="238" ht="13"/>
    <row r="239" ht="13"/>
    <row r="240" ht="13"/>
    <row r="241" ht="13"/>
    <row r="242" ht="13"/>
    <row r="243" ht="13"/>
    <row r="244" ht="13"/>
    <row r="245" ht="13"/>
    <row r="246" ht="13"/>
    <row r="247" ht="13"/>
    <row r="248" ht="13"/>
    <row r="249" ht="13"/>
    <row r="250" ht="13"/>
    <row r="251" ht="13"/>
    <row r="252" ht="13"/>
    <row r="253" ht="13"/>
    <row r="254" ht="13"/>
    <row r="255" ht="13"/>
    <row r="256" ht="13"/>
    <row r="257" ht="13"/>
    <row r="258" ht="13"/>
    <row r="259" ht="13"/>
    <row r="260" ht="13"/>
    <row r="261" ht="13"/>
    <row r="262" ht="13"/>
    <row r="263" ht="13"/>
    <row r="264" ht="13"/>
    <row r="265" ht="13"/>
    <row r="266" ht="13"/>
    <row r="267" ht="13"/>
    <row r="268" ht="13"/>
    <row r="269" ht="13"/>
    <row r="270" ht="13"/>
    <row r="271" ht="13"/>
    <row r="272" ht="13"/>
    <row r="273" ht="13"/>
    <row r="274" ht="13"/>
    <row r="275" ht="13"/>
    <row r="276" ht="13"/>
    <row r="277" ht="13"/>
    <row r="278" ht="13"/>
    <row r="279" ht="13"/>
    <row r="280" ht="13"/>
    <row r="281" ht="13"/>
    <row r="282" ht="13"/>
    <row r="283" ht="13"/>
    <row r="284" ht="13"/>
    <row r="285" ht="13"/>
    <row r="286" ht="13"/>
    <row r="287" ht="13"/>
    <row r="288" ht="13"/>
    <row r="289" ht="13"/>
    <row r="290" ht="13"/>
    <row r="291" ht="13"/>
    <row r="292" ht="13"/>
    <row r="293" ht="13"/>
    <row r="294" ht="13"/>
    <row r="295" ht="13"/>
    <row r="296" ht="13"/>
    <row r="297" ht="13"/>
    <row r="298" ht="13"/>
    <row r="299" ht="13"/>
    <row r="300" ht="13"/>
    <row r="301" ht="13"/>
    <row r="302" ht="13"/>
    <row r="303" ht="13"/>
    <row r="304" ht="13"/>
    <row r="305" ht="13"/>
    <row r="306" ht="13"/>
    <row r="307" ht="13"/>
    <row r="308" ht="13"/>
    <row r="309" ht="13"/>
    <row r="310" ht="13"/>
    <row r="311" ht="13"/>
    <row r="312" ht="13"/>
    <row r="313" ht="13"/>
    <row r="314" ht="13"/>
    <row r="315" ht="13"/>
    <row r="316" ht="13"/>
    <row r="317" ht="13"/>
    <row r="318" ht="13"/>
    <row r="319" ht="13"/>
    <row r="320" ht="13"/>
    <row r="321" ht="13"/>
    <row r="322" ht="13"/>
    <row r="323" ht="13"/>
    <row r="324" ht="13"/>
    <row r="325" ht="13"/>
    <row r="326" ht="13"/>
    <row r="327" ht="13"/>
    <row r="328" ht="13"/>
    <row r="329" ht="13"/>
    <row r="330" ht="13"/>
    <row r="331" ht="13"/>
    <row r="332" ht="13"/>
    <row r="333" ht="13"/>
    <row r="334" ht="13"/>
    <row r="335" ht="13"/>
    <row r="336" ht="13"/>
    <row r="337" ht="13"/>
    <row r="338" ht="13"/>
    <row r="339" ht="13"/>
    <row r="340" ht="13"/>
    <row r="341" ht="13"/>
    <row r="342" ht="13"/>
    <row r="343" ht="13"/>
    <row r="344" ht="13"/>
    <row r="345" ht="13"/>
    <row r="346" ht="13"/>
    <row r="347" ht="13"/>
    <row r="348" ht="13"/>
    <row r="349" ht="13"/>
    <row r="350" ht="13"/>
    <row r="351" ht="13"/>
    <row r="352" ht="13"/>
    <row r="353" ht="13"/>
    <row r="354" ht="13"/>
    <row r="355" ht="13"/>
    <row r="356" ht="13"/>
    <row r="357" ht="13"/>
    <row r="358" ht="13"/>
    <row r="359" ht="13"/>
    <row r="360" ht="13"/>
    <row r="361" ht="13"/>
    <row r="362" ht="13"/>
    <row r="363" ht="13"/>
    <row r="364" ht="13"/>
    <row r="365" ht="13"/>
    <row r="366" ht="13"/>
    <row r="367" ht="13"/>
    <row r="368" ht="13"/>
    <row r="369" ht="13"/>
    <row r="370" ht="13"/>
    <row r="371" ht="13"/>
    <row r="372" ht="13"/>
    <row r="373" ht="13"/>
    <row r="374" ht="13"/>
    <row r="375" ht="13"/>
    <row r="376" ht="13"/>
    <row r="377" ht="13"/>
    <row r="378" ht="13"/>
    <row r="379" ht="13"/>
    <row r="380" ht="13"/>
    <row r="381" ht="13"/>
    <row r="382" ht="13"/>
    <row r="383" ht="13"/>
    <row r="384" ht="13"/>
    <row r="385" ht="13"/>
    <row r="386" ht="13"/>
    <row r="387" ht="13"/>
    <row r="388" ht="13"/>
    <row r="389" ht="13"/>
    <row r="390" ht="13"/>
    <row r="391" ht="13"/>
    <row r="392" ht="13"/>
    <row r="393" ht="13"/>
    <row r="394" ht="13"/>
    <row r="395" ht="13"/>
    <row r="396" ht="13"/>
    <row r="397" ht="13"/>
    <row r="398" ht="13"/>
    <row r="399" ht="13"/>
    <row r="400" ht="13"/>
    <row r="401" ht="13"/>
    <row r="402" ht="13"/>
    <row r="403" ht="13"/>
    <row r="404" ht="13"/>
    <row r="405" ht="13"/>
    <row r="406" ht="13"/>
    <row r="407" ht="13"/>
    <row r="408" ht="13"/>
    <row r="409" ht="13"/>
    <row r="410" ht="13"/>
    <row r="411" ht="13"/>
    <row r="412" ht="13"/>
    <row r="413" ht="13"/>
    <row r="414" ht="13"/>
    <row r="415" ht="13"/>
    <row r="416" ht="13"/>
    <row r="417" ht="13"/>
    <row r="418" ht="13"/>
    <row r="419" ht="13"/>
    <row r="420" ht="13"/>
    <row r="421" ht="13"/>
    <row r="422" ht="13"/>
    <row r="423" ht="13"/>
    <row r="424" ht="13"/>
    <row r="425" ht="13"/>
    <row r="426" ht="13"/>
    <row r="427" ht="13"/>
    <row r="428" ht="13"/>
    <row r="429" ht="13"/>
    <row r="430" ht="13"/>
    <row r="431" ht="13"/>
    <row r="432" ht="13"/>
    <row r="433" ht="13"/>
    <row r="434" ht="13"/>
    <row r="435" ht="13"/>
    <row r="436" ht="13"/>
    <row r="437" ht="13"/>
    <row r="438" ht="13"/>
    <row r="439" ht="13"/>
    <row r="440" ht="13"/>
    <row r="441" ht="13"/>
    <row r="442" ht="13"/>
    <row r="443" ht="13"/>
    <row r="444" ht="13"/>
    <row r="445" ht="13"/>
    <row r="446" ht="13"/>
    <row r="447" ht="13"/>
    <row r="448" ht="13"/>
    <row r="449" ht="13"/>
    <row r="450" ht="13"/>
    <row r="451" ht="13"/>
    <row r="452" ht="13"/>
    <row r="453" ht="13"/>
    <row r="454" ht="13"/>
    <row r="455" ht="13"/>
    <row r="456" ht="13"/>
    <row r="457" ht="13"/>
    <row r="458" ht="13"/>
    <row r="459" ht="13"/>
    <row r="460" ht="13"/>
    <row r="461" ht="13"/>
    <row r="462" ht="13"/>
    <row r="463" ht="13"/>
    <row r="464" ht="13"/>
    <row r="465" ht="13"/>
    <row r="466" ht="13"/>
    <row r="467" ht="13"/>
    <row r="468" ht="13"/>
    <row r="469" ht="13"/>
    <row r="470" ht="13"/>
    <row r="471" ht="13"/>
    <row r="472" ht="13"/>
    <row r="473" ht="13"/>
    <row r="474" ht="13"/>
    <row r="475" ht="13"/>
    <row r="476" ht="13"/>
    <row r="477" ht="13"/>
    <row r="478" ht="13"/>
    <row r="479" ht="13"/>
    <row r="480" ht="13"/>
    <row r="481" ht="13"/>
    <row r="482" ht="13"/>
    <row r="483" ht="13"/>
    <row r="484" ht="13"/>
    <row r="485" ht="13"/>
    <row r="486" ht="13"/>
    <row r="487" ht="13"/>
    <row r="488" ht="13"/>
    <row r="489" ht="13"/>
    <row r="490" ht="13"/>
    <row r="491" ht="13"/>
    <row r="492" ht="13"/>
    <row r="493" ht="13"/>
    <row r="494" ht="13"/>
    <row r="495" ht="13"/>
    <row r="496" ht="13"/>
    <row r="497" ht="13"/>
    <row r="498" ht="13"/>
    <row r="499" ht="13"/>
    <row r="500" ht="13"/>
    <row r="501" ht="13"/>
    <row r="502" ht="13"/>
    <row r="503" ht="13"/>
    <row r="504" ht="13"/>
    <row r="505" ht="13"/>
    <row r="506" ht="13"/>
    <row r="507" ht="13"/>
    <row r="508" ht="13"/>
    <row r="509" ht="13"/>
    <row r="510" ht="13"/>
    <row r="511" ht="13"/>
    <row r="512" ht="13"/>
    <row r="513" ht="13"/>
    <row r="514" ht="13"/>
    <row r="515" ht="13"/>
    <row r="516" ht="13"/>
    <row r="517" ht="13"/>
    <row r="518" ht="13"/>
    <row r="519" ht="13"/>
    <row r="520" ht="13"/>
    <row r="521" ht="13"/>
    <row r="522" ht="13"/>
    <row r="523" ht="13"/>
    <row r="524" ht="13"/>
    <row r="525" ht="13"/>
    <row r="526" ht="13"/>
    <row r="527" ht="13"/>
    <row r="528" ht="13"/>
    <row r="529" ht="13"/>
    <row r="530" ht="13"/>
    <row r="531" ht="13"/>
    <row r="532" ht="13"/>
    <row r="533" ht="13"/>
    <row r="534" ht="13"/>
    <row r="535" ht="13"/>
    <row r="536" ht="13"/>
    <row r="537" ht="13"/>
    <row r="538" ht="13"/>
    <row r="539" ht="13"/>
    <row r="540" ht="13"/>
    <row r="541" ht="13"/>
    <row r="542" ht="13"/>
    <row r="543" ht="13"/>
    <row r="544" ht="13"/>
    <row r="545" ht="13"/>
    <row r="546" ht="13"/>
    <row r="547" ht="13"/>
    <row r="548" ht="13"/>
    <row r="549" ht="13"/>
    <row r="550" ht="13"/>
    <row r="551" ht="13"/>
    <row r="552" ht="13"/>
    <row r="553" ht="13"/>
    <row r="554" ht="13"/>
    <row r="555" ht="13"/>
    <row r="556" ht="13"/>
    <row r="557" ht="13"/>
    <row r="558" ht="13"/>
    <row r="559" ht="13"/>
    <row r="560" ht="13"/>
    <row r="561" ht="13"/>
    <row r="562" ht="13"/>
    <row r="563" ht="13"/>
    <row r="564" ht="13"/>
    <row r="565" ht="13"/>
    <row r="566" ht="13"/>
    <row r="567" ht="13"/>
    <row r="568" ht="13"/>
    <row r="569" ht="13"/>
    <row r="570" ht="13"/>
    <row r="571" ht="13"/>
    <row r="572" ht="13"/>
    <row r="573" ht="13"/>
    <row r="574" ht="13"/>
    <row r="575" ht="13"/>
    <row r="576" ht="13"/>
    <row r="577" ht="13"/>
    <row r="578" ht="13"/>
    <row r="579" ht="13"/>
    <row r="580" ht="13"/>
    <row r="581" ht="13"/>
    <row r="582" ht="13"/>
    <row r="583" ht="13"/>
    <row r="584" ht="13"/>
    <row r="585" ht="13"/>
    <row r="586" ht="13"/>
    <row r="587" ht="13"/>
    <row r="588" ht="13"/>
    <row r="589" ht="13"/>
    <row r="590" ht="13"/>
    <row r="591" ht="13"/>
    <row r="592" ht="13"/>
    <row r="593" ht="13"/>
    <row r="594" ht="13"/>
    <row r="595" ht="13"/>
    <row r="596" ht="13"/>
    <row r="597" ht="13"/>
    <row r="598" ht="13"/>
    <row r="599" ht="13"/>
    <row r="600" ht="13"/>
    <row r="601" ht="13"/>
    <row r="602" ht="13"/>
    <row r="603" ht="13"/>
    <row r="604" ht="13"/>
    <row r="605" ht="13"/>
    <row r="606" ht="13"/>
    <row r="607" ht="13"/>
    <row r="608" ht="13"/>
    <row r="609" ht="13"/>
    <row r="610" ht="13"/>
    <row r="611" ht="13"/>
    <row r="612" ht="13"/>
    <row r="613" ht="13"/>
    <row r="614" ht="13"/>
    <row r="615" ht="13"/>
    <row r="616" ht="13"/>
    <row r="617" ht="13"/>
    <row r="618" ht="13"/>
    <row r="619" ht="13"/>
    <row r="620" ht="13"/>
    <row r="621" ht="13"/>
    <row r="622" ht="13"/>
    <row r="623" ht="13"/>
    <row r="624" ht="13"/>
    <row r="625" ht="13"/>
    <row r="626" ht="13"/>
    <row r="627" ht="13"/>
    <row r="628" ht="13"/>
    <row r="629" ht="13"/>
    <row r="630" ht="13"/>
    <row r="631" ht="13"/>
    <row r="632" ht="13"/>
    <row r="633" ht="13"/>
    <row r="634" ht="13"/>
    <row r="635" ht="13"/>
    <row r="636" ht="13"/>
    <row r="637" ht="13"/>
    <row r="638" ht="13"/>
    <row r="639" ht="13"/>
    <row r="640" ht="13"/>
    <row r="641" ht="13"/>
    <row r="642" ht="13"/>
    <row r="643" ht="13"/>
    <row r="644" ht="13"/>
    <row r="645" ht="13"/>
    <row r="646" ht="13"/>
    <row r="647" ht="13"/>
    <row r="648" ht="13"/>
    <row r="649" ht="13"/>
    <row r="650" ht="13"/>
    <row r="651" ht="13"/>
    <row r="652" ht="13"/>
    <row r="653" ht="13"/>
    <row r="654" ht="13"/>
    <row r="655" ht="13"/>
    <row r="656" ht="13"/>
    <row r="657" ht="13"/>
    <row r="658" ht="13"/>
    <row r="659" ht="13"/>
    <row r="660" ht="13"/>
    <row r="661" ht="13"/>
    <row r="662" ht="13"/>
    <row r="663" ht="13"/>
    <row r="664" ht="13"/>
    <row r="665" ht="13"/>
    <row r="666" ht="13"/>
    <row r="667" ht="13"/>
    <row r="668" ht="13"/>
    <row r="669" ht="13"/>
    <row r="670" ht="13"/>
    <row r="671" ht="13"/>
    <row r="672" ht="13"/>
    <row r="673" ht="13"/>
    <row r="674" ht="13"/>
    <row r="675" ht="13"/>
    <row r="676" ht="13"/>
    <row r="677" ht="13"/>
    <row r="678" ht="13"/>
    <row r="679" ht="13"/>
    <row r="680" ht="13"/>
    <row r="681" ht="13"/>
    <row r="682" ht="13"/>
    <row r="683" ht="13"/>
    <row r="684" ht="13"/>
    <row r="685" ht="13"/>
    <row r="686" ht="13"/>
    <row r="687" ht="13"/>
    <row r="688" ht="13"/>
    <row r="689" ht="13"/>
    <row r="690" ht="13"/>
    <row r="691" ht="13"/>
    <row r="692" ht="13"/>
    <row r="693" ht="13"/>
    <row r="694" ht="13"/>
    <row r="695" ht="13"/>
    <row r="696" ht="13"/>
    <row r="697" ht="13"/>
    <row r="698" ht="13"/>
    <row r="699" ht="13"/>
    <row r="700" ht="13"/>
    <row r="701" ht="13"/>
    <row r="702" ht="13"/>
    <row r="703" ht="13"/>
    <row r="704" ht="13"/>
    <row r="705" ht="13"/>
    <row r="706" ht="13"/>
    <row r="707" ht="13"/>
    <row r="708" ht="13"/>
    <row r="709" ht="13"/>
    <row r="710" ht="13"/>
    <row r="711" ht="13"/>
    <row r="712" ht="13"/>
    <row r="713" ht="13"/>
    <row r="714" ht="13"/>
    <row r="715" ht="13"/>
    <row r="716" ht="13"/>
    <row r="717" ht="13"/>
    <row r="718" ht="13"/>
    <row r="719" ht="13"/>
    <row r="720" ht="13"/>
    <row r="721" ht="13"/>
    <row r="722" ht="13"/>
    <row r="723" ht="13"/>
    <row r="724" ht="13"/>
    <row r="725" ht="13"/>
    <row r="726" ht="13"/>
    <row r="727" ht="13"/>
    <row r="728" ht="13"/>
    <row r="729" ht="13"/>
    <row r="730" ht="13"/>
    <row r="731" ht="13"/>
    <row r="732" ht="13"/>
    <row r="733" ht="13"/>
    <row r="734" ht="13"/>
    <row r="735" ht="13"/>
    <row r="736" ht="13"/>
    <row r="737" ht="13"/>
    <row r="738" ht="13"/>
    <row r="739" ht="13"/>
    <row r="740" ht="13"/>
    <row r="741" ht="13"/>
    <row r="742" ht="13"/>
    <row r="743" ht="13"/>
    <row r="744" ht="13"/>
    <row r="745" ht="13"/>
    <row r="746" ht="13"/>
    <row r="747" ht="13"/>
    <row r="748" ht="13"/>
    <row r="749" ht="13"/>
    <row r="750" ht="13"/>
    <row r="751" ht="13"/>
    <row r="752" ht="13"/>
    <row r="753" ht="13"/>
    <row r="754" ht="13"/>
    <row r="755" ht="13"/>
    <row r="756" ht="13"/>
    <row r="757" ht="13"/>
    <row r="758" ht="13"/>
    <row r="759" ht="13"/>
    <row r="760" ht="13"/>
    <row r="761" ht="13"/>
    <row r="762" ht="13"/>
    <row r="763" ht="13"/>
    <row r="764" ht="13"/>
    <row r="765" ht="13"/>
    <row r="766" ht="13"/>
    <row r="767" ht="13"/>
    <row r="768" ht="13"/>
    <row r="769" ht="13"/>
    <row r="770" ht="13"/>
    <row r="771" ht="13"/>
    <row r="772" ht="13"/>
    <row r="773" ht="13"/>
    <row r="774" ht="13"/>
    <row r="775" ht="13"/>
    <row r="776" ht="13"/>
    <row r="777" ht="13"/>
    <row r="778" ht="13"/>
    <row r="779" ht="13"/>
    <row r="780" ht="13"/>
    <row r="781" ht="13"/>
    <row r="782" ht="13"/>
    <row r="783" ht="13"/>
    <row r="784" ht="13"/>
    <row r="785" ht="13"/>
    <row r="786" ht="13"/>
    <row r="787" ht="13"/>
    <row r="788" ht="13"/>
    <row r="789" ht="13"/>
    <row r="790" ht="13"/>
    <row r="791" ht="13"/>
    <row r="792" ht="13"/>
    <row r="793" ht="13"/>
    <row r="794" ht="13"/>
    <row r="795" ht="13"/>
    <row r="796" ht="13"/>
    <row r="797" ht="13"/>
    <row r="798" ht="13"/>
    <row r="799" ht="13"/>
    <row r="800" ht="13"/>
    <row r="801" ht="13"/>
    <row r="802" ht="13"/>
    <row r="803" ht="13"/>
    <row r="804" ht="13"/>
    <row r="805" ht="13"/>
    <row r="806" ht="13"/>
    <row r="807" ht="13"/>
    <row r="808" ht="13"/>
    <row r="809" ht="13"/>
    <row r="810" ht="13"/>
    <row r="811" ht="13"/>
    <row r="812" ht="13"/>
    <row r="813" ht="13"/>
    <row r="814" ht="13"/>
    <row r="815" ht="13"/>
    <row r="816" ht="13"/>
    <row r="817" ht="13"/>
    <row r="818" ht="13"/>
    <row r="819" ht="13"/>
    <row r="820" ht="13"/>
    <row r="821" ht="13"/>
    <row r="822" ht="13"/>
    <row r="823" ht="13"/>
    <row r="824" ht="13"/>
    <row r="825" ht="13"/>
    <row r="826" ht="13"/>
    <row r="827" ht="13"/>
    <row r="828" ht="13"/>
    <row r="829" ht="13"/>
    <row r="830" ht="13"/>
    <row r="831" ht="13"/>
    <row r="832" ht="13"/>
    <row r="833" ht="13"/>
    <row r="834" ht="13"/>
    <row r="835" ht="13"/>
    <row r="836" ht="13"/>
    <row r="837" ht="13"/>
    <row r="838" ht="13"/>
    <row r="839" ht="13"/>
    <row r="840" ht="13"/>
    <row r="841" ht="13"/>
    <row r="842" ht="13"/>
    <row r="843" ht="13"/>
    <row r="844" ht="13"/>
    <row r="845" ht="13"/>
    <row r="846" ht="13"/>
    <row r="847" ht="13"/>
    <row r="848" ht="13"/>
    <row r="849" ht="13"/>
    <row r="850" ht="13"/>
    <row r="851" ht="13"/>
    <row r="852" ht="13"/>
    <row r="853" ht="13"/>
    <row r="854" ht="13"/>
    <row r="855" ht="13"/>
    <row r="856" ht="13"/>
    <row r="857" ht="13"/>
    <row r="858" ht="13"/>
    <row r="859" ht="13"/>
    <row r="860" ht="13"/>
    <row r="861" ht="13"/>
    <row r="862" ht="13"/>
    <row r="863" ht="13"/>
    <row r="864" ht="13"/>
    <row r="865" ht="13"/>
    <row r="866" ht="13"/>
    <row r="867" ht="13"/>
    <row r="868" ht="13"/>
    <row r="869" ht="13"/>
    <row r="870" ht="13"/>
    <row r="871" ht="13"/>
    <row r="872" ht="13"/>
    <row r="873" ht="13"/>
    <row r="874" ht="13"/>
    <row r="875" ht="13"/>
    <row r="876" ht="13"/>
    <row r="877" ht="13"/>
    <row r="878" ht="13"/>
    <row r="879" ht="13"/>
    <row r="880" ht="13"/>
    <row r="881" ht="13"/>
    <row r="882" ht="13"/>
    <row r="883" ht="13"/>
    <row r="884" ht="13"/>
    <row r="885" ht="13"/>
    <row r="886" ht="13"/>
    <row r="887" ht="13"/>
    <row r="888" ht="13"/>
    <row r="889" ht="13"/>
    <row r="890" ht="13"/>
    <row r="891" ht="13"/>
    <row r="892" ht="13"/>
    <row r="893" ht="13"/>
    <row r="894" ht="13"/>
    <row r="895" ht="13"/>
    <row r="896" ht="13"/>
    <row r="897" ht="13"/>
    <row r="898" ht="13"/>
    <row r="899" ht="13"/>
    <row r="900" ht="13"/>
    <row r="901" ht="13"/>
    <row r="902" ht="13"/>
    <row r="903" ht="13"/>
    <row r="904" ht="13"/>
    <row r="905" ht="13"/>
    <row r="906" ht="13"/>
    <row r="907" ht="13"/>
    <row r="908" ht="13"/>
    <row r="909" ht="13"/>
    <row r="910" ht="13"/>
    <row r="911" ht="13"/>
    <row r="912" ht="13"/>
    <row r="913" ht="13"/>
    <row r="914" ht="13"/>
    <row r="915" ht="13"/>
    <row r="916" ht="13"/>
    <row r="917" ht="13"/>
    <row r="918" ht="13"/>
    <row r="919" ht="13"/>
    <row r="920" ht="13"/>
    <row r="921" ht="13"/>
    <row r="922" ht="13"/>
    <row r="923" ht="13"/>
    <row r="924" ht="13"/>
    <row r="925" ht="13"/>
    <row r="926" ht="13"/>
    <row r="927" ht="13"/>
    <row r="928" ht="13"/>
    <row r="929" ht="13"/>
    <row r="930" ht="13"/>
    <row r="931" ht="13"/>
    <row r="932" ht="13"/>
    <row r="933" ht="13"/>
    <row r="934" ht="13"/>
    <row r="935" ht="13"/>
    <row r="936" ht="13"/>
    <row r="937" ht="13"/>
    <row r="938" ht="13"/>
    <row r="939" ht="13"/>
    <row r="940" ht="13"/>
    <row r="941" ht="13"/>
    <row r="942" ht="13"/>
    <row r="943" ht="13"/>
    <row r="944" ht="13"/>
    <row r="945" ht="13"/>
    <row r="946" ht="13"/>
    <row r="947" ht="13"/>
    <row r="948" ht="13"/>
    <row r="949" ht="13"/>
    <row r="950" ht="13"/>
    <row r="951" ht="13"/>
    <row r="952" ht="13"/>
    <row r="953" ht="13"/>
    <row r="954" ht="13"/>
    <row r="955" ht="13"/>
    <row r="956" ht="13"/>
    <row r="957" ht="13"/>
    <row r="958" ht="13"/>
    <row r="959" ht="13"/>
    <row r="960" ht="13"/>
    <row r="961" ht="13"/>
    <row r="962" ht="13"/>
    <row r="963" ht="13"/>
    <row r="964" ht="13"/>
    <row r="965" ht="13"/>
    <row r="966" ht="13"/>
    <row r="967" ht="13"/>
    <row r="968" ht="13"/>
    <row r="969" ht="13"/>
    <row r="970" ht="13"/>
    <row r="971" ht="13"/>
    <row r="972" ht="13"/>
    <row r="973" ht="13"/>
    <row r="974" ht="13"/>
    <row r="975" ht="13"/>
    <row r="976" ht="13"/>
    <row r="977" ht="13"/>
    <row r="978" ht="13"/>
    <row r="979" ht="13"/>
    <row r="980" ht="13"/>
    <row r="981" ht="13"/>
    <row r="982" ht="13"/>
    <row r="983" ht="13"/>
    <row r="984" ht="13"/>
    <row r="985" ht="13"/>
    <row r="986" ht="13"/>
    <row r="987" ht="13"/>
    <row r="988" ht="13"/>
    <row r="989" ht="13"/>
    <row r="990" ht="13"/>
    <row r="991" ht="13"/>
    <row r="992" ht="13"/>
    <row r="993" ht="13"/>
    <row r="994" ht="13"/>
    <row r="995" ht="13"/>
    <row r="996" ht="13"/>
    <row r="997" ht="13"/>
    <row r="998" ht="13"/>
    <row r="999" ht="13"/>
    <row r="1000" ht="13"/>
  </sheetData>
  <mergeCells count="8">
    <mergeCell ref="J4:L4"/>
    <mergeCell ref="B7:E14"/>
    <mergeCell ref="B15:E16"/>
    <mergeCell ref="B2:B5"/>
    <mergeCell ref="C2:C5"/>
    <mergeCell ref="E2:E5"/>
    <mergeCell ref="G4:G5"/>
    <mergeCell ref="H4:H5"/>
  </mergeCells>
  <hyperlinks>
    <hyperlink ref="B7" r:id="rId1" xr:uid="{00000000-0004-0000-0100-000000000000}"/>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47"/>
  <sheetViews>
    <sheetView tabSelected="1" workbookViewId="0">
      <pane xSplit="3" ySplit="2" topLeftCell="E3" activePane="bottomRight" state="frozen"/>
      <selection pane="topRight" activeCell="D1" sqref="D1"/>
      <selection pane="bottomLeft" activeCell="A3" sqref="A3"/>
      <selection pane="bottomRight" activeCell="N2" sqref="N2"/>
    </sheetView>
  </sheetViews>
  <sheetFormatPr baseColWidth="10" defaultColWidth="12.6640625" defaultRowHeight="13"/>
  <cols>
    <col min="1" max="1" width="9" customWidth="1"/>
    <col min="2" max="2" width="12.1640625" customWidth="1"/>
    <col min="3" max="3" width="18.5" customWidth="1"/>
    <col min="4" max="4" width="9.6640625" customWidth="1"/>
    <col min="5" max="5" width="42.6640625" customWidth="1"/>
    <col min="6" max="6" width="43.33203125" customWidth="1"/>
    <col min="7" max="23" width="6.6640625" customWidth="1"/>
    <col min="24" max="24" width="21.5" customWidth="1"/>
    <col min="25" max="25" width="29.6640625" style="98" customWidth="1"/>
    <col min="26" max="26" width="29.6640625" hidden="1" customWidth="1"/>
  </cols>
  <sheetData>
    <row r="1" spans="1:26">
      <c r="A1" s="15" t="s">
        <v>59</v>
      </c>
      <c r="B1" s="15"/>
      <c r="C1" s="15"/>
      <c r="D1" s="15"/>
      <c r="E1" s="15"/>
      <c r="F1" s="15"/>
      <c r="G1" s="109" t="s">
        <v>45</v>
      </c>
      <c r="H1" s="103"/>
      <c r="I1" s="103"/>
      <c r="J1" s="103"/>
      <c r="K1" s="103"/>
      <c r="L1" s="103"/>
      <c r="M1" s="110"/>
      <c r="N1" s="109" t="s">
        <v>1418</v>
      </c>
      <c r="O1" s="103"/>
      <c r="P1" s="103"/>
      <c r="Q1" s="103"/>
      <c r="R1" s="103"/>
      <c r="S1" s="103"/>
      <c r="T1" s="103"/>
      <c r="U1" s="103"/>
      <c r="V1" s="103"/>
      <c r="W1" s="110"/>
      <c r="X1" s="15"/>
      <c r="Y1" s="86"/>
      <c r="Z1" s="11"/>
    </row>
    <row r="2" spans="1:26" ht="28">
      <c r="A2" s="16" t="s">
        <v>46</v>
      </c>
      <c r="B2" s="16" t="s">
        <v>47</v>
      </c>
      <c r="C2" s="16" t="s">
        <v>48</v>
      </c>
      <c r="D2" s="16" t="s">
        <v>49</v>
      </c>
      <c r="E2" s="16" t="s">
        <v>50</v>
      </c>
      <c r="F2" s="16" t="s">
        <v>51</v>
      </c>
      <c r="G2" s="17">
        <v>2.1</v>
      </c>
      <c r="H2" s="18">
        <v>2.2000000000000002</v>
      </c>
      <c r="I2" s="18">
        <v>2.2999999999999998</v>
      </c>
      <c r="J2" s="18">
        <v>2.4</v>
      </c>
      <c r="K2" s="18">
        <v>2.5</v>
      </c>
      <c r="L2" s="18">
        <v>2.6</v>
      </c>
      <c r="M2" s="19">
        <v>2.7</v>
      </c>
      <c r="N2" s="17" t="s">
        <v>18</v>
      </c>
      <c r="O2" s="18" t="s">
        <v>8</v>
      </c>
      <c r="P2" s="18" t="s">
        <v>14</v>
      </c>
      <c r="Q2" s="18" t="s">
        <v>12</v>
      </c>
      <c r="R2" s="18" t="s">
        <v>10</v>
      </c>
      <c r="S2" s="18" t="s">
        <v>22</v>
      </c>
      <c r="T2" s="18" t="s">
        <v>16</v>
      </c>
      <c r="U2" s="18" t="s">
        <v>6</v>
      </c>
      <c r="V2" s="18" t="s">
        <v>20</v>
      </c>
      <c r="W2" s="19" t="s">
        <v>25</v>
      </c>
      <c r="X2" s="16" t="s">
        <v>52</v>
      </c>
      <c r="Y2" s="16" t="s">
        <v>53</v>
      </c>
      <c r="Z2" s="12"/>
    </row>
    <row r="3" spans="1:26" ht="56">
      <c r="A3" s="20">
        <f ca="1">IFERROR(__xludf.DUMMYFUNCTION("filter('Raw Data KS1-3'!B:G,'Raw Data KS1-3'!A:A=2)"),3)</f>
        <v>3</v>
      </c>
      <c r="B3" s="20">
        <f ca="1">IFERROR(__xludf.DUMMYFUNCTION("""COMPUTED_VALUE"""),1)</f>
        <v>1</v>
      </c>
      <c r="C3" s="21" t="str">
        <f ca="1">IFERROR(__xludf.DUMMYFUNCTION("""COMPUTED_VALUE"""),"Computing systems and networks – Connecting computers")</f>
        <v>Computing systems and networks – Connecting computers</v>
      </c>
      <c r="D3" s="20">
        <f ca="1">IFERROR(__xludf.DUMMYFUNCTION("""COMPUTED_VALUE"""),1)</f>
        <v>1</v>
      </c>
      <c r="E3" s="21" t="str">
        <f ca="1">IFERROR(__xludf.DUMMYFUNCTION("""COMPUTED_VALUE"""),"-To explain how digital devices function")</f>
        <v>-To explain how digital devices function</v>
      </c>
      <c r="F3" s="22" t="str">
        <f ca="1">IFERROR(__xludf.DUMMYFUNCTION("""COMPUTED_VALUE""")," -I can explain that digital devices accept inputs
- I can explain that digital devices produce outputs
- I can follow a process")</f>
        <v xml:space="preserve"> -I can explain that digital devices accept inputs
- I can explain that digital devices produce outputs
- I can follow a process</v>
      </c>
      <c r="G3" s="23" t="str">
        <f ca="1">IFERROR(__xludf.DUMMYFUNCTION("filter('Raw Data KS1-3'!N:T,'Raw Data KS1-3'!A:A=2)"),"")</f>
        <v/>
      </c>
      <c r="H3" s="24" t="b">
        <f ca="1">IFERROR(__xludf.DUMMYFUNCTION("""COMPUTED_VALUE"""),TRUE)</f>
        <v>1</v>
      </c>
      <c r="I3" s="25"/>
      <c r="J3" s="24" t="b">
        <f ca="1">IFERROR(__xludf.DUMMYFUNCTION("""COMPUTED_VALUE"""),TRUE)</f>
        <v>1</v>
      </c>
      <c r="K3" s="25"/>
      <c r="L3" s="24" t="b">
        <f ca="1">IFERROR(__xludf.DUMMYFUNCTION("""COMPUTED_VALUE"""),TRUE)</f>
        <v>1</v>
      </c>
      <c r="M3" s="26"/>
      <c r="N3" s="23" t="str">
        <f ca="1">IFERROR(__xludf.DUMMYFUNCTION("filter('Raw Data KS1-3'!AG:AP,'Raw Data KS1-3'!A:A=2)"),"")</f>
        <v/>
      </c>
      <c r="O3" s="25"/>
      <c r="P3" s="24" t="b">
        <f ca="1">IFERROR(__xludf.DUMMYFUNCTION("""COMPUTED_VALUE"""),TRUE)</f>
        <v>1</v>
      </c>
      <c r="Q3" s="25"/>
      <c r="R3" s="25"/>
      <c r="S3" s="25"/>
      <c r="T3" s="25"/>
      <c r="U3" s="25"/>
      <c r="V3" s="25"/>
      <c r="W3" s="26"/>
      <c r="X3" s="27"/>
      <c r="Y3" s="87"/>
      <c r="Z3" s="28">
        <f ca="1">IFERROR(__xludf.DUMMYFUNCTION("ArrayFormula(COUNTUNIQUE($C$3:C3))"),1)</f>
        <v>1</v>
      </c>
    </row>
    <row r="4" spans="1:26" ht="56">
      <c r="A4" s="29">
        <f ca="1">IFERROR(__xludf.DUMMYFUNCTION("""COMPUTED_VALUE"""),3)</f>
        <v>3</v>
      </c>
      <c r="B4" s="29">
        <f ca="1">IFERROR(__xludf.DUMMYFUNCTION("""COMPUTED_VALUE"""),1)</f>
        <v>1</v>
      </c>
      <c r="C4" s="30" t="str">
        <f ca="1">IFERROR(__xludf.DUMMYFUNCTION("""COMPUTED_VALUE"""),"Computing systems and networks – Connecting computers")</f>
        <v>Computing systems and networks – Connecting computers</v>
      </c>
      <c r="D4" s="29">
        <f ca="1">IFERROR(__xludf.DUMMYFUNCTION("""COMPUTED_VALUE"""),2)</f>
        <v>2</v>
      </c>
      <c r="E4" s="30" t="str">
        <f ca="1">IFERROR(__xludf.DUMMYFUNCTION("""COMPUTED_VALUE"""),"-To identify input and output devices")</f>
        <v>-To identify input and output devices</v>
      </c>
      <c r="F4" s="31" t="str">
        <f ca="1">IFERROR(__xludf.DUMMYFUNCTION("""COMPUTED_VALUE""")," -I can classify input and output devices
- I can describe a simple process
- I can design a digital device")</f>
        <v xml:space="preserve"> -I can classify input and output devices
- I can describe a simple process
- I can design a digital device</v>
      </c>
      <c r="G4" s="32"/>
      <c r="H4" s="33" t="b">
        <f ca="1">IFERROR(__xludf.DUMMYFUNCTION("""COMPUTED_VALUE"""),TRUE)</f>
        <v>1</v>
      </c>
      <c r="I4" s="34"/>
      <c r="J4" s="33" t="b">
        <f ca="1">IFERROR(__xludf.DUMMYFUNCTION("""COMPUTED_VALUE"""),TRUE)</f>
        <v>1</v>
      </c>
      <c r="K4" s="34"/>
      <c r="L4" s="33" t="b">
        <f ca="1">IFERROR(__xludf.DUMMYFUNCTION("""COMPUTED_VALUE"""),TRUE)</f>
        <v>1</v>
      </c>
      <c r="M4" s="35"/>
      <c r="N4" s="32"/>
      <c r="O4" s="34"/>
      <c r="P4" s="33" t="b">
        <f ca="1">IFERROR(__xludf.DUMMYFUNCTION("""COMPUTED_VALUE"""),TRUE)</f>
        <v>1</v>
      </c>
      <c r="Q4" s="34"/>
      <c r="R4" s="34"/>
      <c r="S4" s="34"/>
      <c r="T4" s="34"/>
      <c r="U4" s="34"/>
      <c r="V4" s="34"/>
      <c r="W4" s="35"/>
      <c r="X4" s="36"/>
      <c r="Y4" s="88"/>
      <c r="Z4" s="37">
        <f ca="1">IFERROR(__xludf.DUMMYFUNCTION("ArrayFormula(mod(COUNTUNIQUE($C$3:C4),2))"),1)</f>
        <v>1</v>
      </c>
    </row>
    <row r="5" spans="1:26" ht="84">
      <c r="A5" s="29">
        <f ca="1">IFERROR(__xludf.DUMMYFUNCTION("""COMPUTED_VALUE"""),3)</f>
        <v>3</v>
      </c>
      <c r="B5" s="29">
        <f ca="1">IFERROR(__xludf.DUMMYFUNCTION("""COMPUTED_VALUE"""),1)</f>
        <v>1</v>
      </c>
      <c r="C5" s="30" t="str">
        <f ca="1">IFERROR(__xludf.DUMMYFUNCTION("""COMPUTED_VALUE"""),"Computing systems and networks – Connecting computers")</f>
        <v>Computing systems and networks – Connecting computers</v>
      </c>
      <c r="D5" s="29">
        <f ca="1">IFERROR(__xludf.DUMMYFUNCTION("""COMPUTED_VALUE"""),3)</f>
        <v>3</v>
      </c>
      <c r="E5" s="30" t="str">
        <f ca="1">IFERROR(__xludf.DUMMYFUNCTION("""COMPUTED_VALUE"""),"-To recognise how digital devices can change the way we work")</f>
        <v>-To recognise how digital devices can change the way we work</v>
      </c>
      <c r="F5" s="31" t="str">
        <f ca="1">IFERROR(__xludf.DUMMYFUNCTION("""COMPUTED_VALUE""")," -I can explain how I use digital devices for different activities
- I can recognise similarities between using digital devices and non-digital tools
- I can suggest differences between using digital devices and non-digital tools")</f>
        <v xml:space="preserve"> -I can explain how I use digital devices for different activities
- I can recognise similarities between using digital devices and non-digital tools
- I can suggest differences between using digital devices and non-digital tools</v>
      </c>
      <c r="G5" s="32"/>
      <c r="H5" s="33" t="b">
        <f ca="1">IFERROR(__xludf.DUMMYFUNCTION("""COMPUTED_VALUE"""),TRUE)</f>
        <v>1</v>
      </c>
      <c r="I5" s="34"/>
      <c r="J5" s="33" t="b">
        <f ca="1">IFERROR(__xludf.DUMMYFUNCTION("""COMPUTED_VALUE"""),TRUE)</f>
        <v>1</v>
      </c>
      <c r="K5" s="34"/>
      <c r="L5" s="33" t="b">
        <f ca="1">IFERROR(__xludf.DUMMYFUNCTION("""COMPUTED_VALUE"""),TRUE)</f>
        <v>1</v>
      </c>
      <c r="M5" s="35"/>
      <c r="N5" s="32"/>
      <c r="O5" s="34"/>
      <c r="P5" s="33" t="b">
        <f ca="1">IFERROR(__xludf.DUMMYFUNCTION("""COMPUTED_VALUE"""),TRUE)</f>
        <v>1</v>
      </c>
      <c r="Q5" s="34"/>
      <c r="R5" s="34"/>
      <c r="S5" s="34"/>
      <c r="T5" s="33" t="b">
        <f ca="1">IFERROR(__xludf.DUMMYFUNCTION("""COMPUTED_VALUE"""),TRUE)</f>
        <v>1</v>
      </c>
      <c r="U5" s="34"/>
      <c r="V5" s="34"/>
      <c r="W5" s="35"/>
      <c r="X5" s="36"/>
      <c r="Y5" s="88"/>
      <c r="Z5" s="37">
        <f ca="1">IFERROR(__xludf.DUMMYFUNCTION("ArrayFormula(mod(COUNTUNIQUE($C$3:C5),2))"),1)</f>
        <v>1</v>
      </c>
    </row>
    <row r="6" spans="1:26" ht="56">
      <c r="A6" s="29">
        <f ca="1">IFERROR(__xludf.DUMMYFUNCTION("""COMPUTED_VALUE"""),3)</f>
        <v>3</v>
      </c>
      <c r="B6" s="29">
        <f ca="1">IFERROR(__xludf.DUMMYFUNCTION("""COMPUTED_VALUE"""),1)</f>
        <v>1</v>
      </c>
      <c r="C6" s="30" t="str">
        <f ca="1">IFERROR(__xludf.DUMMYFUNCTION("""COMPUTED_VALUE"""),"Computing systems and networks – Connecting computers")</f>
        <v>Computing systems and networks – Connecting computers</v>
      </c>
      <c r="D6" s="29">
        <f ca="1">IFERROR(__xludf.DUMMYFUNCTION("""COMPUTED_VALUE"""),4)</f>
        <v>4</v>
      </c>
      <c r="E6" s="30" t="str">
        <f ca="1">IFERROR(__xludf.DUMMYFUNCTION("""COMPUTED_VALUE"""),"-To explain how a computer network can be used to share information")</f>
        <v>-To explain how a computer network can be used to share information</v>
      </c>
      <c r="F6" s="31" t="str">
        <f ca="1">IFERROR(__xludf.DUMMYFUNCTION("""COMPUTED_VALUE""")," -I can discuss why we need a network switch
- I can explain how messages are passed through multiple connections
- I can recognise different connections")</f>
        <v xml:space="preserve"> -I can discuss why we need a network switch
- I can explain how messages are passed through multiple connections
- I can recognise different connections</v>
      </c>
      <c r="G6" s="32"/>
      <c r="H6" s="33" t="b">
        <f ca="1">IFERROR(__xludf.DUMMYFUNCTION("""COMPUTED_VALUE"""),TRUE)</f>
        <v>1</v>
      </c>
      <c r="I6" s="34"/>
      <c r="J6" s="33" t="b">
        <f ca="1">IFERROR(__xludf.DUMMYFUNCTION("""COMPUTED_VALUE"""),TRUE)</f>
        <v>1</v>
      </c>
      <c r="K6" s="34"/>
      <c r="L6" s="33" t="b">
        <f ca="1">IFERROR(__xludf.DUMMYFUNCTION("""COMPUTED_VALUE"""),TRUE)</f>
        <v>1</v>
      </c>
      <c r="M6" s="35"/>
      <c r="N6" s="32"/>
      <c r="O6" s="34"/>
      <c r="P6" s="33" t="b">
        <f ca="1">IFERROR(__xludf.DUMMYFUNCTION("""COMPUTED_VALUE"""),TRUE)</f>
        <v>1</v>
      </c>
      <c r="Q6" s="34"/>
      <c r="R6" s="34"/>
      <c r="S6" s="34"/>
      <c r="T6" s="34"/>
      <c r="U6" s="33" t="b">
        <f ca="1">IFERROR(__xludf.DUMMYFUNCTION("""COMPUTED_VALUE"""),TRUE)</f>
        <v>1</v>
      </c>
      <c r="V6" s="34"/>
      <c r="W6" s="35"/>
      <c r="X6" s="36"/>
      <c r="Y6" s="88"/>
      <c r="Z6" s="37">
        <f ca="1">IFERROR(__xludf.DUMMYFUNCTION("ArrayFormula(mod(COUNTUNIQUE($C$3:C6),2))"),1)</f>
        <v>1</v>
      </c>
    </row>
    <row r="7" spans="1:26" ht="84">
      <c r="A7" s="29">
        <f ca="1">IFERROR(__xludf.DUMMYFUNCTION("""COMPUTED_VALUE"""),3)</f>
        <v>3</v>
      </c>
      <c r="B7" s="29">
        <f ca="1">IFERROR(__xludf.DUMMYFUNCTION("""COMPUTED_VALUE"""),1)</f>
        <v>1</v>
      </c>
      <c r="C7" s="30" t="str">
        <f ca="1">IFERROR(__xludf.DUMMYFUNCTION("""COMPUTED_VALUE"""),"Computing systems and networks – Connecting computers")</f>
        <v>Computing systems and networks – Connecting computers</v>
      </c>
      <c r="D7" s="29">
        <f ca="1">IFERROR(__xludf.DUMMYFUNCTION("""COMPUTED_VALUE"""),5)</f>
        <v>5</v>
      </c>
      <c r="E7" s="30" t="str">
        <f ca="1">IFERROR(__xludf.DUMMYFUNCTION("""COMPUTED_VALUE"""),"-To explore how digital devices can be connected")</f>
        <v>-To explore how digital devices can be connected</v>
      </c>
      <c r="F7" s="31" t="str">
        <f ca="1">IFERROR(__xludf.DUMMYFUNCTION("""COMPUTED_VALUE""")," -I can demonstrate how information can be passed between devices
- I can explain the role of a switch, server, and wireless access point in a network
- I can recognise that a computer network is made up of a number of devices")</f>
        <v xml:space="preserve"> -I can demonstrate how information can be passed between devices
- I can explain the role of a switch, server, and wireless access point in a network
- I can recognise that a computer network is made up of a number of devices</v>
      </c>
      <c r="G7" s="32"/>
      <c r="H7" s="33" t="b">
        <f ca="1">IFERROR(__xludf.DUMMYFUNCTION("""COMPUTED_VALUE"""),TRUE)</f>
        <v>1</v>
      </c>
      <c r="I7" s="34"/>
      <c r="J7" s="33" t="b">
        <f ca="1">IFERROR(__xludf.DUMMYFUNCTION("""COMPUTED_VALUE"""),TRUE)</f>
        <v>1</v>
      </c>
      <c r="K7" s="34"/>
      <c r="L7" s="33" t="b">
        <f ca="1">IFERROR(__xludf.DUMMYFUNCTION("""COMPUTED_VALUE"""),TRUE)</f>
        <v>1</v>
      </c>
      <c r="M7" s="35"/>
      <c r="N7" s="32"/>
      <c r="O7" s="34"/>
      <c r="P7" s="33" t="b">
        <f ca="1">IFERROR(__xludf.DUMMYFUNCTION("""COMPUTED_VALUE"""),TRUE)</f>
        <v>1</v>
      </c>
      <c r="Q7" s="34"/>
      <c r="R7" s="34"/>
      <c r="S7" s="34"/>
      <c r="T7" s="34"/>
      <c r="U7" s="33" t="b">
        <f ca="1">IFERROR(__xludf.DUMMYFUNCTION("""COMPUTED_VALUE"""),TRUE)</f>
        <v>1</v>
      </c>
      <c r="V7" s="34"/>
      <c r="W7" s="35"/>
      <c r="X7" s="36"/>
      <c r="Y7" s="88"/>
      <c r="Z7" s="37">
        <f ca="1">IFERROR(__xludf.DUMMYFUNCTION("ArrayFormula(mod(COUNTUNIQUE($C$3:C7),2))"),1)</f>
        <v>1</v>
      </c>
    </row>
    <row r="8" spans="1:26" ht="56">
      <c r="A8" s="38">
        <f ca="1">IFERROR(__xludf.DUMMYFUNCTION("""COMPUTED_VALUE"""),3)</f>
        <v>3</v>
      </c>
      <c r="B8" s="38">
        <f ca="1">IFERROR(__xludf.DUMMYFUNCTION("""COMPUTED_VALUE"""),1)</f>
        <v>1</v>
      </c>
      <c r="C8" s="39" t="str">
        <f ca="1">IFERROR(__xludf.DUMMYFUNCTION("""COMPUTED_VALUE"""),"Computing systems and networks – Connecting computers")</f>
        <v>Computing systems and networks – Connecting computers</v>
      </c>
      <c r="D8" s="38">
        <f ca="1">IFERROR(__xludf.DUMMYFUNCTION("""COMPUTED_VALUE"""),6)</f>
        <v>6</v>
      </c>
      <c r="E8" s="39" t="str">
        <f ca="1">IFERROR(__xludf.DUMMYFUNCTION("""COMPUTED_VALUE"""),"-To recognise the physical components of a network")</f>
        <v>-To recognise the physical components of a network</v>
      </c>
      <c r="F8" s="40" t="str">
        <f ca="1">IFERROR(__xludf.DUMMYFUNCTION("""COMPUTED_VALUE""")," -I can identify how devices in a network are connected together
- I can identify networked devices around me
- I can identify the benefits of computer networks")</f>
        <v xml:space="preserve"> -I can identify how devices in a network are connected together
- I can identify networked devices around me
- I can identify the benefits of computer networks</v>
      </c>
      <c r="G8" s="41"/>
      <c r="H8" s="42" t="b">
        <f ca="1">IFERROR(__xludf.DUMMYFUNCTION("""COMPUTED_VALUE"""),TRUE)</f>
        <v>1</v>
      </c>
      <c r="I8" s="43"/>
      <c r="J8" s="42" t="b">
        <f ca="1">IFERROR(__xludf.DUMMYFUNCTION("""COMPUTED_VALUE"""),TRUE)</f>
        <v>1</v>
      </c>
      <c r="K8" s="43"/>
      <c r="L8" s="42" t="b">
        <f ca="1">IFERROR(__xludf.DUMMYFUNCTION("""COMPUTED_VALUE"""),TRUE)</f>
        <v>1</v>
      </c>
      <c r="M8" s="44"/>
      <c r="N8" s="41"/>
      <c r="O8" s="43"/>
      <c r="P8" s="42" t="b">
        <f ca="1">IFERROR(__xludf.DUMMYFUNCTION("""COMPUTED_VALUE"""),TRUE)</f>
        <v>1</v>
      </c>
      <c r="Q8" s="43"/>
      <c r="R8" s="43"/>
      <c r="S8" s="43"/>
      <c r="T8" s="43"/>
      <c r="U8" s="42" t="b">
        <f ca="1">IFERROR(__xludf.DUMMYFUNCTION("""COMPUTED_VALUE"""),TRUE)</f>
        <v>1</v>
      </c>
      <c r="V8" s="43"/>
      <c r="W8" s="44"/>
      <c r="X8" s="45"/>
      <c r="Y8" s="89"/>
      <c r="Z8" s="46">
        <f ca="1">IFERROR(__xludf.DUMMYFUNCTION("ArrayFormula(mod(COUNTUNIQUE($C$3:C8),2))"),1)</f>
        <v>1</v>
      </c>
    </row>
    <row r="9" spans="1:26" ht="42">
      <c r="A9" s="47">
        <f ca="1">IFERROR(__xludf.DUMMYFUNCTION("""COMPUTED_VALUE"""),3)</f>
        <v>3</v>
      </c>
      <c r="B9" s="47">
        <f ca="1">IFERROR(__xludf.DUMMYFUNCTION("""COMPUTED_VALUE"""),2)</f>
        <v>2</v>
      </c>
      <c r="C9" s="48" t="str">
        <f ca="1">IFERROR(__xludf.DUMMYFUNCTION("""COMPUTED_VALUE"""),"Creating media - Stop-frame animation")</f>
        <v>Creating media - Stop-frame animation</v>
      </c>
      <c r="D9" s="47">
        <f ca="1">IFERROR(__xludf.DUMMYFUNCTION("""COMPUTED_VALUE"""),1)</f>
        <v>1</v>
      </c>
      <c r="E9" s="48" t="str">
        <f ca="1">IFERROR(__xludf.DUMMYFUNCTION("""COMPUTED_VALUE"""),"-To explain that animation is a sequence of drawings or photographs")</f>
        <v>-To explain that animation is a sequence of drawings or photographs</v>
      </c>
      <c r="F9" s="49" t="str">
        <f ca="1">IFERROR(__xludf.DUMMYFUNCTION("""COMPUTED_VALUE""")," -I can create an effective flip book—style animation
- I can draw a sequence of pictures
- I can explain how an animation/flip book works")</f>
        <v xml:space="preserve"> -I can create an effective flip book—style animation
- I can draw a sequence of pictures
- I can explain how an animation/flip book works</v>
      </c>
      <c r="G9" s="50"/>
      <c r="H9" s="51"/>
      <c r="I9" s="51"/>
      <c r="J9" s="51"/>
      <c r="K9" s="51"/>
      <c r="L9" s="52" t="b">
        <f ca="1">IFERROR(__xludf.DUMMYFUNCTION("""COMPUTED_VALUE"""),TRUE)</f>
        <v>1</v>
      </c>
      <c r="M9" s="53" t="b">
        <f ca="1">IFERROR(__xludf.DUMMYFUNCTION("""COMPUTED_VALUE"""),TRUE)</f>
        <v>1</v>
      </c>
      <c r="N9" s="50"/>
      <c r="O9" s="52" t="b">
        <f ca="1">IFERROR(__xludf.DUMMYFUNCTION("""COMPUTED_VALUE"""),TRUE)</f>
        <v>1</v>
      </c>
      <c r="P9" s="51"/>
      <c r="Q9" s="51"/>
      <c r="R9" s="51"/>
      <c r="S9" s="52" t="b">
        <f ca="1">IFERROR(__xludf.DUMMYFUNCTION("""COMPUTED_VALUE"""),TRUE)</f>
        <v>1</v>
      </c>
      <c r="T9" s="51"/>
      <c r="U9" s="51"/>
      <c r="V9" s="51"/>
      <c r="W9" s="53"/>
      <c r="X9" s="54"/>
      <c r="Y9" s="90" t="s">
        <v>60</v>
      </c>
      <c r="Z9" s="55">
        <f ca="1">IFERROR(__xludf.DUMMYFUNCTION("ArrayFormula(mod(COUNTUNIQUE($C$3:C9),2))"),0)</f>
        <v>0</v>
      </c>
    </row>
    <row r="10" spans="1:26" ht="56">
      <c r="A10" s="29">
        <f ca="1">IFERROR(__xludf.DUMMYFUNCTION("""COMPUTED_VALUE"""),3)</f>
        <v>3</v>
      </c>
      <c r="B10" s="29">
        <f ca="1">IFERROR(__xludf.DUMMYFUNCTION("""COMPUTED_VALUE"""),2)</f>
        <v>2</v>
      </c>
      <c r="C10" s="30" t="str">
        <f ca="1">IFERROR(__xludf.DUMMYFUNCTION("""COMPUTED_VALUE"""),"Creating media - Stop-frame animation")</f>
        <v>Creating media - Stop-frame animation</v>
      </c>
      <c r="D10" s="29">
        <f ca="1">IFERROR(__xludf.DUMMYFUNCTION("""COMPUTED_VALUE"""),2)</f>
        <v>2</v>
      </c>
      <c r="E10" s="30" t="str">
        <f ca="1">IFERROR(__xludf.DUMMYFUNCTION("""COMPUTED_VALUE"""),"-To relate animated movement with a sequence of images")</f>
        <v>-To relate animated movement with a sequence of images</v>
      </c>
      <c r="F10" s="31" t="str">
        <f ca="1">IFERROR(__xludf.DUMMYFUNCTION("""COMPUTED_VALUE""")," -I can create an effective stop-frame animation
- I can explain why little changes are needed for each frame
- I can predict what an animation will look like")</f>
        <v xml:space="preserve"> -I can create an effective stop-frame animation
- I can explain why little changes are needed for each frame
- I can predict what an animation will look like</v>
      </c>
      <c r="G10" s="56"/>
      <c r="H10" s="57"/>
      <c r="I10" s="57"/>
      <c r="J10" s="57"/>
      <c r="K10" s="57"/>
      <c r="L10" s="33" t="b">
        <f ca="1">IFERROR(__xludf.DUMMYFUNCTION("""COMPUTED_VALUE"""),TRUE)</f>
        <v>1</v>
      </c>
      <c r="M10" s="58" t="b">
        <f ca="1">IFERROR(__xludf.DUMMYFUNCTION("""COMPUTED_VALUE"""),TRUE)</f>
        <v>1</v>
      </c>
      <c r="N10" s="56"/>
      <c r="O10" s="33" t="b">
        <f ca="1">IFERROR(__xludf.DUMMYFUNCTION("""COMPUTED_VALUE"""),TRUE)</f>
        <v>1</v>
      </c>
      <c r="P10" s="57"/>
      <c r="Q10" s="57"/>
      <c r="R10" s="57"/>
      <c r="S10" s="33" t="b">
        <f ca="1">IFERROR(__xludf.DUMMYFUNCTION("""COMPUTED_VALUE"""),TRUE)</f>
        <v>1</v>
      </c>
      <c r="T10" s="57"/>
      <c r="U10" s="57"/>
      <c r="V10" s="57"/>
      <c r="W10" s="58"/>
      <c r="X10" s="59"/>
      <c r="Y10" s="91" t="s">
        <v>60</v>
      </c>
      <c r="Z10" s="60">
        <f ca="1">IFERROR(__xludf.DUMMYFUNCTION("ArrayFormula(mod(COUNTUNIQUE($C$3:C10),2))"),0)</f>
        <v>0</v>
      </c>
    </row>
    <row r="11" spans="1:26" ht="70">
      <c r="A11" s="29">
        <f ca="1">IFERROR(__xludf.DUMMYFUNCTION("""COMPUTED_VALUE"""),3)</f>
        <v>3</v>
      </c>
      <c r="B11" s="29">
        <f ca="1">IFERROR(__xludf.DUMMYFUNCTION("""COMPUTED_VALUE"""),2)</f>
        <v>2</v>
      </c>
      <c r="C11" s="30" t="str">
        <f ca="1">IFERROR(__xludf.DUMMYFUNCTION("""COMPUTED_VALUE"""),"Creating media - Stop-frame animation")</f>
        <v>Creating media - Stop-frame animation</v>
      </c>
      <c r="D11" s="29">
        <f ca="1">IFERROR(__xludf.DUMMYFUNCTION("""COMPUTED_VALUE"""),3)</f>
        <v>3</v>
      </c>
      <c r="E11" s="30" t="str">
        <f ca="1">IFERROR(__xludf.DUMMYFUNCTION("""COMPUTED_VALUE"""),"-To plan an animation")</f>
        <v>-To plan an animation</v>
      </c>
      <c r="F11" s="31" t="str">
        <f ca="1">IFERROR(__xludf.DUMMYFUNCTION("""COMPUTED_VALUE""")," -I can break down a story into settings, characters and events
- I can create a storyboard
- I can describe an animation that is achievable on screen")</f>
        <v xml:space="preserve"> -I can break down a story into settings, characters and events
- I can create a storyboard
- I can describe an animation that is achievable on screen</v>
      </c>
      <c r="G11" s="56"/>
      <c r="H11" s="57"/>
      <c r="I11" s="57"/>
      <c r="J11" s="57"/>
      <c r="K11" s="57"/>
      <c r="L11" s="33" t="b">
        <f ca="1">IFERROR(__xludf.DUMMYFUNCTION("""COMPUTED_VALUE"""),TRUE)</f>
        <v>1</v>
      </c>
      <c r="M11" s="58" t="b">
        <f ca="1">IFERROR(__xludf.DUMMYFUNCTION("""COMPUTED_VALUE"""),TRUE)</f>
        <v>1</v>
      </c>
      <c r="N11" s="56"/>
      <c r="O11" s="33" t="b">
        <f ca="1">IFERROR(__xludf.DUMMYFUNCTION("""COMPUTED_VALUE"""),TRUE)</f>
        <v>1</v>
      </c>
      <c r="P11" s="57"/>
      <c r="Q11" s="33" t="b">
        <f ca="1">IFERROR(__xludf.DUMMYFUNCTION("""COMPUTED_VALUE"""),TRUE)</f>
        <v>1</v>
      </c>
      <c r="R11" s="57"/>
      <c r="S11" s="57"/>
      <c r="T11" s="57"/>
      <c r="U11" s="57"/>
      <c r="V11" s="57"/>
      <c r="W11" s="58"/>
      <c r="X11" s="59"/>
      <c r="Y11" s="91" t="s">
        <v>60</v>
      </c>
      <c r="Z11" s="60">
        <f ca="1">IFERROR(__xludf.DUMMYFUNCTION("ArrayFormula(mod(COUNTUNIQUE($C$3:C11),2))"),0)</f>
        <v>0</v>
      </c>
    </row>
    <row r="12" spans="1:26" ht="56">
      <c r="A12" s="29">
        <f ca="1">IFERROR(__xludf.DUMMYFUNCTION("""COMPUTED_VALUE"""),3)</f>
        <v>3</v>
      </c>
      <c r="B12" s="29">
        <f ca="1">IFERROR(__xludf.DUMMYFUNCTION("""COMPUTED_VALUE"""),2)</f>
        <v>2</v>
      </c>
      <c r="C12" s="30" t="str">
        <f ca="1">IFERROR(__xludf.DUMMYFUNCTION("""COMPUTED_VALUE"""),"Creating media - Stop-frame animation")</f>
        <v>Creating media - Stop-frame animation</v>
      </c>
      <c r="D12" s="29">
        <f ca="1">IFERROR(__xludf.DUMMYFUNCTION("""COMPUTED_VALUE"""),4)</f>
        <v>4</v>
      </c>
      <c r="E12" s="30" t="str">
        <f ca="1">IFERROR(__xludf.DUMMYFUNCTION("""COMPUTED_VALUE"""),"-To identify the need to work consistently and carefully")</f>
        <v>-To identify the need to work consistently and carefully</v>
      </c>
      <c r="F12" s="31" t="str">
        <f ca="1">IFERROR(__xludf.DUMMYFUNCTION("""COMPUTED_VALUE""")," -I can evaluate the quality of my animation
- I can review a sequence of frames to check my work
- I can use onion skinning to help me make small changes between frames")</f>
        <v xml:space="preserve"> -I can evaluate the quality of my animation
- I can review a sequence of frames to check my work
- I can use onion skinning to help me make small changes between frames</v>
      </c>
      <c r="G12" s="56"/>
      <c r="H12" s="57"/>
      <c r="I12" s="57"/>
      <c r="J12" s="57"/>
      <c r="K12" s="57"/>
      <c r="L12" s="33" t="b">
        <f ca="1">IFERROR(__xludf.DUMMYFUNCTION("""COMPUTED_VALUE"""),TRUE)</f>
        <v>1</v>
      </c>
      <c r="M12" s="58" t="b">
        <f ca="1">IFERROR(__xludf.DUMMYFUNCTION("""COMPUTED_VALUE"""),TRUE)</f>
        <v>1</v>
      </c>
      <c r="N12" s="56"/>
      <c r="O12" s="33" t="b">
        <f ca="1">IFERROR(__xludf.DUMMYFUNCTION("""COMPUTED_VALUE"""),TRUE)</f>
        <v>1</v>
      </c>
      <c r="P12" s="57"/>
      <c r="Q12" s="33" t="b">
        <f ca="1">IFERROR(__xludf.DUMMYFUNCTION("""COMPUTED_VALUE"""),TRUE)</f>
        <v>1</v>
      </c>
      <c r="R12" s="57"/>
      <c r="S12" s="33" t="b">
        <f ca="1">IFERROR(__xludf.DUMMYFUNCTION("""COMPUTED_VALUE"""),TRUE)</f>
        <v>1</v>
      </c>
      <c r="T12" s="57"/>
      <c r="U12" s="57"/>
      <c r="V12" s="57"/>
      <c r="W12" s="58"/>
      <c r="X12" s="59"/>
      <c r="Y12" s="91" t="s">
        <v>60</v>
      </c>
      <c r="Z12" s="60">
        <f ca="1">IFERROR(__xludf.DUMMYFUNCTION("ArrayFormula(mod(COUNTUNIQUE($C$3:C12),2))"),0)</f>
        <v>0</v>
      </c>
    </row>
    <row r="13" spans="1:26" ht="42">
      <c r="A13" s="29">
        <f ca="1">IFERROR(__xludf.DUMMYFUNCTION("""COMPUTED_VALUE"""),3)</f>
        <v>3</v>
      </c>
      <c r="B13" s="29">
        <f ca="1">IFERROR(__xludf.DUMMYFUNCTION("""COMPUTED_VALUE"""),2)</f>
        <v>2</v>
      </c>
      <c r="C13" s="30" t="str">
        <f ca="1">IFERROR(__xludf.DUMMYFUNCTION("""COMPUTED_VALUE"""),"Creating media - Stop-frame animation")</f>
        <v>Creating media - Stop-frame animation</v>
      </c>
      <c r="D13" s="29">
        <f ca="1">IFERROR(__xludf.DUMMYFUNCTION("""COMPUTED_VALUE"""),5)</f>
        <v>5</v>
      </c>
      <c r="E13" s="30" t="str">
        <f ca="1">IFERROR(__xludf.DUMMYFUNCTION("""COMPUTED_VALUE"""),"-To review and improve an animation")</f>
        <v>-To review and improve an animation</v>
      </c>
      <c r="F13" s="31" t="str">
        <f ca="1">IFERROR(__xludf.DUMMYFUNCTION("""COMPUTED_VALUE""")," -I can evaluate another learner’s animation
- I can explain ways to make my animation better
- I can improve my animation based on feedback")</f>
        <v xml:space="preserve"> -I can evaluate another learner’s animation
- I can explain ways to make my animation better
- I can improve my animation based on feedback</v>
      </c>
      <c r="G13" s="56"/>
      <c r="H13" s="57"/>
      <c r="I13" s="57"/>
      <c r="J13" s="57"/>
      <c r="K13" s="57"/>
      <c r="L13" s="33" t="b">
        <f ca="1">IFERROR(__xludf.DUMMYFUNCTION("""COMPUTED_VALUE"""),TRUE)</f>
        <v>1</v>
      </c>
      <c r="M13" s="58" t="b">
        <f ca="1">IFERROR(__xludf.DUMMYFUNCTION("""COMPUTED_VALUE"""),TRUE)</f>
        <v>1</v>
      </c>
      <c r="N13" s="56"/>
      <c r="O13" s="33" t="b">
        <f ca="1">IFERROR(__xludf.DUMMYFUNCTION("""COMPUTED_VALUE"""),TRUE)</f>
        <v>1</v>
      </c>
      <c r="P13" s="57"/>
      <c r="Q13" s="33" t="b">
        <f ca="1">IFERROR(__xludf.DUMMYFUNCTION("""COMPUTED_VALUE"""),TRUE)</f>
        <v>1</v>
      </c>
      <c r="R13" s="57"/>
      <c r="S13" s="33" t="b">
        <f ca="1">IFERROR(__xludf.DUMMYFUNCTION("""COMPUTED_VALUE"""),TRUE)</f>
        <v>1</v>
      </c>
      <c r="T13" s="57"/>
      <c r="U13" s="57"/>
      <c r="V13" s="57"/>
      <c r="W13" s="58"/>
      <c r="X13" s="59"/>
      <c r="Y13" s="91" t="s">
        <v>60</v>
      </c>
      <c r="Z13" s="60">
        <f ca="1">IFERROR(__xludf.DUMMYFUNCTION("ArrayFormula(mod(COUNTUNIQUE($C$3:C13),2))"),0)</f>
        <v>0</v>
      </c>
    </row>
    <row r="14" spans="1:26" ht="56">
      <c r="A14" s="38">
        <f ca="1">IFERROR(__xludf.DUMMYFUNCTION("""COMPUTED_VALUE"""),3)</f>
        <v>3</v>
      </c>
      <c r="B14" s="38">
        <f ca="1">IFERROR(__xludf.DUMMYFUNCTION("""COMPUTED_VALUE"""),2)</f>
        <v>2</v>
      </c>
      <c r="C14" s="39" t="str">
        <f ca="1">IFERROR(__xludf.DUMMYFUNCTION("""COMPUTED_VALUE"""),"Creating media - Stop-frame animation")</f>
        <v>Creating media - Stop-frame animation</v>
      </c>
      <c r="D14" s="38">
        <f ca="1">IFERROR(__xludf.DUMMYFUNCTION("""COMPUTED_VALUE"""),6)</f>
        <v>6</v>
      </c>
      <c r="E14" s="39" t="str">
        <f ca="1">IFERROR(__xludf.DUMMYFUNCTION("""COMPUTED_VALUE"""),"-To evaluate the impact of adding other media to an animation")</f>
        <v>-To evaluate the impact of adding other media to an animation</v>
      </c>
      <c r="F14" s="40" t="str">
        <f ca="1">IFERROR(__xludf.DUMMYFUNCTION("""COMPUTED_VALUE""")," -I can add other media to my animation
- I can evaluate my final film
- I can explain why I added other media to my animation")</f>
        <v xml:space="preserve"> -I can add other media to my animation
- I can evaluate my final film
- I can explain why I added other media to my animation</v>
      </c>
      <c r="G14" s="61"/>
      <c r="H14" s="62"/>
      <c r="I14" s="62"/>
      <c r="J14" s="62"/>
      <c r="K14" s="62"/>
      <c r="L14" s="42" t="b">
        <f ca="1">IFERROR(__xludf.DUMMYFUNCTION("""COMPUTED_VALUE"""),TRUE)</f>
        <v>1</v>
      </c>
      <c r="M14" s="63" t="b">
        <f ca="1">IFERROR(__xludf.DUMMYFUNCTION("""COMPUTED_VALUE"""),TRUE)</f>
        <v>1</v>
      </c>
      <c r="N14" s="61"/>
      <c r="O14" s="42" t="b">
        <f ca="1">IFERROR(__xludf.DUMMYFUNCTION("""COMPUTED_VALUE"""),TRUE)</f>
        <v>1</v>
      </c>
      <c r="P14" s="62"/>
      <c r="Q14" s="42" t="b">
        <f ca="1">IFERROR(__xludf.DUMMYFUNCTION("""COMPUTED_VALUE"""),TRUE)</f>
        <v>1</v>
      </c>
      <c r="R14" s="62"/>
      <c r="S14" s="42" t="b">
        <f ca="1">IFERROR(__xludf.DUMMYFUNCTION("""COMPUTED_VALUE"""),TRUE)</f>
        <v>1</v>
      </c>
      <c r="T14" s="62"/>
      <c r="U14" s="62"/>
      <c r="V14" s="62"/>
      <c r="W14" s="63"/>
      <c r="X14" s="64"/>
      <c r="Y14" s="92" t="s">
        <v>60</v>
      </c>
      <c r="Z14" s="65">
        <f ca="1">IFERROR(__xludf.DUMMYFUNCTION("ArrayFormula(mod(COUNTUNIQUE($C$3:C14),2))"),0)</f>
        <v>0</v>
      </c>
    </row>
    <row r="15" spans="1:26" ht="84">
      <c r="A15" s="47">
        <f ca="1">IFERROR(__xludf.DUMMYFUNCTION("""COMPUTED_VALUE"""),3)</f>
        <v>3</v>
      </c>
      <c r="B15" s="47">
        <f ca="1">IFERROR(__xludf.DUMMYFUNCTION("""COMPUTED_VALUE"""),3)</f>
        <v>3</v>
      </c>
      <c r="C15" s="48" t="str">
        <f ca="1">IFERROR(__xludf.DUMMYFUNCTION("""COMPUTED_VALUE"""),"Programming A - Sequencing sounds")</f>
        <v>Programming A - Sequencing sounds</v>
      </c>
      <c r="D15" s="47">
        <f ca="1">IFERROR(__xludf.DUMMYFUNCTION("""COMPUTED_VALUE"""),1)</f>
        <v>1</v>
      </c>
      <c r="E15" s="48" t="str">
        <f ca="1">IFERROR(__xludf.DUMMYFUNCTION("""COMPUTED_VALUE"""),"-To explore a new programming environment")</f>
        <v>-To explore a new programming environment</v>
      </c>
      <c r="F15" s="49" t="str">
        <f ca="1">IFERROR(__xludf.DUMMYFUNCTION("""COMPUTED_VALUE""")," -I can explain that objects in Scratch have attributes (linked to)
- I can identify the objects in a Scratch project (sprites, backdrops)
- I can recognise that commands in Scratch are represented as blocks")</f>
        <v xml:space="preserve"> -I can explain that objects in Scratch have attributes (linked to)
- I can identify the objects in a Scratch project (sprites, backdrops)
- I can recognise that commands in Scratch are represented as blocks</v>
      </c>
      <c r="G15" s="66" t="b">
        <f ca="1">IFERROR(__xludf.DUMMYFUNCTION("""COMPUTED_VALUE"""),TRUE)</f>
        <v>1</v>
      </c>
      <c r="H15" s="67" t="b">
        <f ca="1">IFERROR(__xludf.DUMMYFUNCTION("""COMPUTED_VALUE"""),TRUE)</f>
        <v>1</v>
      </c>
      <c r="I15" s="67" t="b">
        <f ca="1">IFERROR(__xludf.DUMMYFUNCTION("""COMPUTED_VALUE"""),TRUE)</f>
        <v>1</v>
      </c>
      <c r="J15" s="67"/>
      <c r="K15" s="67"/>
      <c r="L15" s="67" t="b">
        <f ca="1">IFERROR(__xludf.DUMMYFUNCTION("""COMPUTED_VALUE"""),TRUE)</f>
        <v>1</v>
      </c>
      <c r="M15" s="68"/>
      <c r="N15" s="66"/>
      <c r="O15" s="67"/>
      <c r="P15" s="67"/>
      <c r="Q15" s="67"/>
      <c r="R15" s="67"/>
      <c r="S15" s="67" t="b">
        <f ca="1">IFERROR(__xludf.DUMMYFUNCTION("""COMPUTED_VALUE"""),TRUE)</f>
        <v>1</v>
      </c>
      <c r="T15" s="67"/>
      <c r="U15" s="67"/>
      <c r="V15" s="67" t="b">
        <f ca="1">IFERROR(__xludf.DUMMYFUNCTION("""COMPUTED_VALUE"""),TRUE)</f>
        <v>1</v>
      </c>
      <c r="W15" s="68"/>
      <c r="X15" s="69"/>
      <c r="Y15" s="93"/>
      <c r="Z15" s="70">
        <f ca="1">IFERROR(__xludf.DUMMYFUNCTION("ArrayFormula(mod(COUNTUNIQUE($C$3:C15),2))"),1)</f>
        <v>1</v>
      </c>
    </row>
    <row r="16" spans="1:26" ht="70">
      <c r="A16" s="29">
        <f ca="1">IFERROR(__xludf.DUMMYFUNCTION("""COMPUTED_VALUE"""),3)</f>
        <v>3</v>
      </c>
      <c r="B16" s="29">
        <f ca="1">IFERROR(__xludf.DUMMYFUNCTION("""COMPUTED_VALUE"""),3)</f>
        <v>3</v>
      </c>
      <c r="C16" s="30" t="str">
        <f ca="1">IFERROR(__xludf.DUMMYFUNCTION("""COMPUTED_VALUE"""),"Programming A - Sequencing sounds")</f>
        <v>Programming A - Sequencing sounds</v>
      </c>
      <c r="D16" s="29">
        <f ca="1">IFERROR(__xludf.DUMMYFUNCTION("""COMPUTED_VALUE"""),2)</f>
        <v>2</v>
      </c>
      <c r="E16" s="30" t="str">
        <f ca="1">IFERROR(__xludf.DUMMYFUNCTION("""COMPUTED_VALUE"""),"-To identify that commands have an outcome")</f>
        <v>-To identify that commands have an outcome</v>
      </c>
      <c r="F16" s="31" t="str">
        <f ca="1">IFERROR(__xludf.DUMMYFUNCTION("""COMPUTED_VALUE""")," -I can choose a word which describes an on-screen action for my plan
- I can create a program following a design
- I can identify that each sprite is controlled by the commands I choose")</f>
        <v xml:space="preserve"> -I can choose a word which describes an on-screen action for my plan
- I can create a program following a design
- I can identify that each sprite is controlled by the commands I choose</v>
      </c>
      <c r="G16" s="32" t="b">
        <f ca="1">IFERROR(__xludf.DUMMYFUNCTION("""COMPUTED_VALUE"""),TRUE)</f>
        <v>1</v>
      </c>
      <c r="H16" s="34" t="b">
        <f ca="1">IFERROR(__xludf.DUMMYFUNCTION("""COMPUTED_VALUE"""),TRUE)</f>
        <v>1</v>
      </c>
      <c r="I16" s="34" t="b">
        <f ca="1">IFERROR(__xludf.DUMMYFUNCTION("""COMPUTED_VALUE"""),TRUE)</f>
        <v>1</v>
      </c>
      <c r="J16" s="34"/>
      <c r="K16" s="34"/>
      <c r="L16" s="34" t="b">
        <f ca="1">IFERROR(__xludf.DUMMYFUNCTION("""COMPUTED_VALUE"""),TRUE)</f>
        <v>1</v>
      </c>
      <c r="M16" s="35"/>
      <c r="N16" s="32"/>
      <c r="O16" s="34"/>
      <c r="P16" s="34"/>
      <c r="Q16" s="34"/>
      <c r="R16" s="34"/>
      <c r="S16" s="34"/>
      <c r="T16" s="34"/>
      <c r="U16" s="34"/>
      <c r="V16" s="34" t="b">
        <f ca="1">IFERROR(__xludf.DUMMYFUNCTION("""COMPUTED_VALUE"""),TRUE)</f>
        <v>1</v>
      </c>
      <c r="W16" s="35"/>
      <c r="X16" s="36"/>
      <c r="Y16" s="88"/>
      <c r="Z16" s="37">
        <f ca="1">IFERROR(__xludf.DUMMYFUNCTION("ArrayFormula(mod(COUNTUNIQUE($C$3:C16),2))"),1)</f>
        <v>1</v>
      </c>
    </row>
    <row r="17" spans="1:26" ht="56">
      <c r="A17" s="29">
        <f ca="1">IFERROR(__xludf.DUMMYFUNCTION("""COMPUTED_VALUE"""),3)</f>
        <v>3</v>
      </c>
      <c r="B17" s="29">
        <f ca="1">IFERROR(__xludf.DUMMYFUNCTION("""COMPUTED_VALUE"""),3)</f>
        <v>3</v>
      </c>
      <c r="C17" s="30" t="str">
        <f ca="1">IFERROR(__xludf.DUMMYFUNCTION("""COMPUTED_VALUE"""),"Programming A - Sequencing sounds")</f>
        <v>Programming A - Sequencing sounds</v>
      </c>
      <c r="D17" s="29">
        <f ca="1">IFERROR(__xludf.DUMMYFUNCTION("""COMPUTED_VALUE"""),3)</f>
        <v>3</v>
      </c>
      <c r="E17" s="30" t="str">
        <f ca="1">IFERROR(__xludf.DUMMYFUNCTION("""COMPUTED_VALUE"""),"-To explain that a program has a start")</f>
        <v>-To explain that a program has a start</v>
      </c>
      <c r="F17" s="31" t="str">
        <f ca="1">IFERROR(__xludf.DUMMYFUNCTION("""COMPUTED_VALUE""")," -I can create a sequence of connected commands
- I can explain that the objects in my project will respond exactly to the code
- I can start a program in different ways")</f>
        <v xml:space="preserve"> -I can create a sequence of connected commands
- I can explain that the objects in my project will respond exactly to the code
- I can start a program in different ways</v>
      </c>
      <c r="G17" s="32" t="b">
        <f ca="1">IFERROR(__xludf.DUMMYFUNCTION("""COMPUTED_VALUE"""),TRUE)</f>
        <v>1</v>
      </c>
      <c r="H17" s="34" t="b">
        <f ca="1">IFERROR(__xludf.DUMMYFUNCTION("""COMPUTED_VALUE"""),TRUE)</f>
        <v>1</v>
      </c>
      <c r="I17" s="34" t="b">
        <f ca="1">IFERROR(__xludf.DUMMYFUNCTION("""COMPUTED_VALUE"""),TRUE)</f>
        <v>1</v>
      </c>
      <c r="J17" s="34"/>
      <c r="K17" s="34"/>
      <c r="L17" s="34" t="b">
        <f ca="1">IFERROR(__xludf.DUMMYFUNCTION("""COMPUTED_VALUE"""),TRUE)</f>
        <v>1</v>
      </c>
      <c r="M17" s="35"/>
      <c r="N17" s="32"/>
      <c r="O17" s="34"/>
      <c r="P17" s="34"/>
      <c r="Q17" s="34"/>
      <c r="R17" s="34"/>
      <c r="S17" s="34"/>
      <c r="T17" s="34"/>
      <c r="U17" s="34"/>
      <c r="V17" s="34" t="b">
        <f ca="1">IFERROR(__xludf.DUMMYFUNCTION("""COMPUTED_VALUE"""),TRUE)</f>
        <v>1</v>
      </c>
      <c r="W17" s="35"/>
      <c r="X17" s="36"/>
      <c r="Y17" s="88"/>
      <c r="Z17" s="37">
        <f ca="1">IFERROR(__xludf.DUMMYFUNCTION("ArrayFormula(mod(COUNTUNIQUE($C$3:C17),2))"),1)</f>
        <v>1</v>
      </c>
    </row>
    <row r="18" spans="1:26" ht="42">
      <c r="A18" s="29">
        <f ca="1">IFERROR(__xludf.DUMMYFUNCTION("""COMPUTED_VALUE"""),3)</f>
        <v>3</v>
      </c>
      <c r="B18" s="29">
        <f ca="1">IFERROR(__xludf.DUMMYFUNCTION("""COMPUTED_VALUE"""),3)</f>
        <v>3</v>
      </c>
      <c r="C18" s="30" t="str">
        <f ca="1">IFERROR(__xludf.DUMMYFUNCTION("""COMPUTED_VALUE"""),"Programming A - Sequencing sounds")</f>
        <v>Programming A - Sequencing sounds</v>
      </c>
      <c r="D18" s="29">
        <f ca="1">IFERROR(__xludf.DUMMYFUNCTION("""COMPUTED_VALUE"""),4)</f>
        <v>4</v>
      </c>
      <c r="E18" s="30" t="str">
        <f ca="1">IFERROR(__xludf.DUMMYFUNCTION("""COMPUTED_VALUE"""),"-To recognise that a sequence of commands can have an order")</f>
        <v>-To recognise that a sequence of commands can have an order</v>
      </c>
      <c r="F18" s="31" t="str">
        <f ca="1">IFERROR(__xludf.DUMMYFUNCTION("""COMPUTED_VALUE""")," -I can combine sound commands
- I can explain what a sequence is
- I can order notes into a sequence")</f>
        <v xml:space="preserve"> -I can combine sound commands
- I can explain what a sequence is
- I can order notes into a sequence</v>
      </c>
      <c r="G18" s="32" t="b">
        <f ca="1">IFERROR(__xludf.DUMMYFUNCTION("""COMPUTED_VALUE"""),TRUE)</f>
        <v>1</v>
      </c>
      <c r="H18" s="34" t="b">
        <f ca="1">IFERROR(__xludf.DUMMYFUNCTION("""COMPUTED_VALUE"""),TRUE)</f>
        <v>1</v>
      </c>
      <c r="I18" s="34" t="b">
        <f ca="1">IFERROR(__xludf.DUMMYFUNCTION("""COMPUTED_VALUE"""),TRUE)</f>
        <v>1</v>
      </c>
      <c r="J18" s="34"/>
      <c r="K18" s="34"/>
      <c r="L18" s="34" t="b">
        <f ca="1">IFERROR(__xludf.DUMMYFUNCTION("""COMPUTED_VALUE"""),TRUE)</f>
        <v>1</v>
      </c>
      <c r="M18" s="35"/>
      <c r="N18" s="32"/>
      <c r="O18" s="34"/>
      <c r="P18" s="34"/>
      <c r="Q18" s="34"/>
      <c r="R18" s="34"/>
      <c r="S18" s="34"/>
      <c r="T18" s="34"/>
      <c r="U18" s="34"/>
      <c r="V18" s="34" t="b">
        <f ca="1">IFERROR(__xludf.DUMMYFUNCTION("""COMPUTED_VALUE"""),TRUE)</f>
        <v>1</v>
      </c>
      <c r="W18" s="35"/>
      <c r="X18" s="36"/>
      <c r="Y18" s="88"/>
      <c r="Z18" s="37">
        <f ca="1">IFERROR(__xludf.DUMMYFUNCTION("ArrayFormula(mod(COUNTUNIQUE($C$3:C18),2))"),1)</f>
        <v>1</v>
      </c>
    </row>
    <row r="19" spans="1:26" ht="42">
      <c r="A19" s="29">
        <f ca="1">IFERROR(__xludf.DUMMYFUNCTION("""COMPUTED_VALUE"""),3)</f>
        <v>3</v>
      </c>
      <c r="B19" s="29">
        <f ca="1">IFERROR(__xludf.DUMMYFUNCTION("""COMPUTED_VALUE"""),3)</f>
        <v>3</v>
      </c>
      <c r="C19" s="30" t="str">
        <f ca="1">IFERROR(__xludf.DUMMYFUNCTION("""COMPUTED_VALUE"""),"Programming A - Sequencing sounds")</f>
        <v>Programming A - Sequencing sounds</v>
      </c>
      <c r="D19" s="29">
        <f ca="1">IFERROR(__xludf.DUMMYFUNCTION("""COMPUTED_VALUE"""),5)</f>
        <v>5</v>
      </c>
      <c r="E19" s="30" t="str">
        <f ca="1">IFERROR(__xludf.DUMMYFUNCTION("""COMPUTED_VALUE"""),"-To change the appearance of my project")</f>
        <v>-To change the appearance of my project</v>
      </c>
      <c r="F19" s="31" t="str">
        <f ca="1">IFERROR(__xludf.DUMMYFUNCTION("""COMPUTED_VALUE""")," -I can build a sequence of commands
- I can decide the actions for each sprite in a program
- I can make design choices for my artwork")</f>
        <v xml:space="preserve"> -I can build a sequence of commands
- I can decide the actions for each sprite in a program
- I can make design choices for my artwork</v>
      </c>
      <c r="G19" s="32" t="b">
        <f ca="1">IFERROR(__xludf.DUMMYFUNCTION("""COMPUTED_VALUE"""),TRUE)</f>
        <v>1</v>
      </c>
      <c r="H19" s="34" t="b">
        <f ca="1">IFERROR(__xludf.DUMMYFUNCTION("""COMPUTED_VALUE"""),TRUE)</f>
        <v>1</v>
      </c>
      <c r="I19" s="34" t="b">
        <f ca="1">IFERROR(__xludf.DUMMYFUNCTION("""COMPUTED_VALUE"""),TRUE)</f>
        <v>1</v>
      </c>
      <c r="J19" s="34"/>
      <c r="K19" s="34"/>
      <c r="L19" s="34" t="b">
        <f ca="1">IFERROR(__xludf.DUMMYFUNCTION("""COMPUTED_VALUE"""),TRUE)</f>
        <v>1</v>
      </c>
      <c r="M19" s="35"/>
      <c r="N19" s="32"/>
      <c r="O19" s="34"/>
      <c r="P19" s="34"/>
      <c r="Q19" s="34" t="b">
        <f ca="1">IFERROR(__xludf.DUMMYFUNCTION("""COMPUTED_VALUE"""),TRUE)</f>
        <v>1</v>
      </c>
      <c r="R19" s="34"/>
      <c r="S19" s="34"/>
      <c r="T19" s="34"/>
      <c r="U19" s="34"/>
      <c r="V19" s="34" t="b">
        <f ca="1">IFERROR(__xludf.DUMMYFUNCTION("""COMPUTED_VALUE"""),TRUE)</f>
        <v>1</v>
      </c>
      <c r="W19" s="35"/>
      <c r="X19" s="36"/>
      <c r="Y19" s="88"/>
      <c r="Z19" s="37">
        <f ca="1">IFERROR(__xludf.DUMMYFUNCTION("ArrayFormula(mod(COUNTUNIQUE($C$3:C19),2))"),1)</f>
        <v>1</v>
      </c>
    </row>
    <row r="20" spans="1:26" ht="56">
      <c r="A20" s="38">
        <f ca="1">IFERROR(__xludf.DUMMYFUNCTION("""COMPUTED_VALUE"""),3)</f>
        <v>3</v>
      </c>
      <c r="B20" s="38">
        <f ca="1">IFERROR(__xludf.DUMMYFUNCTION("""COMPUTED_VALUE"""),3)</f>
        <v>3</v>
      </c>
      <c r="C20" s="39" t="str">
        <f ca="1">IFERROR(__xludf.DUMMYFUNCTION("""COMPUTED_VALUE"""),"Programming A - Sequencing sounds")</f>
        <v>Programming A - Sequencing sounds</v>
      </c>
      <c r="D20" s="38">
        <f ca="1">IFERROR(__xludf.DUMMYFUNCTION("""COMPUTED_VALUE"""),6)</f>
        <v>6</v>
      </c>
      <c r="E20" s="39" t="str">
        <f ca="1">IFERROR(__xludf.DUMMYFUNCTION("""COMPUTED_VALUE"""),"-To create a project from a task description")</f>
        <v>-To create a project from a task description</v>
      </c>
      <c r="F20" s="40" t="str">
        <f ca="1">IFERROR(__xludf.DUMMYFUNCTION("""COMPUTED_VALUE""")," -I can identify and name the objects I will need for a project
- I can implement my algorithm as code
- I can relate a task description to a design")</f>
        <v xml:space="preserve"> -I can identify and name the objects I will need for a project
- I can implement my algorithm as code
- I can relate a task description to a design</v>
      </c>
      <c r="G20" s="41" t="b">
        <f ca="1">IFERROR(__xludf.DUMMYFUNCTION("""COMPUTED_VALUE"""),TRUE)</f>
        <v>1</v>
      </c>
      <c r="H20" s="43" t="b">
        <f ca="1">IFERROR(__xludf.DUMMYFUNCTION("""COMPUTED_VALUE"""),TRUE)</f>
        <v>1</v>
      </c>
      <c r="I20" s="43" t="b">
        <f ca="1">IFERROR(__xludf.DUMMYFUNCTION("""COMPUTED_VALUE"""),TRUE)</f>
        <v>1</v>
      </c>
      <c r="J20" s="43"/>
      <c r="K20" s="43"/>
      <c r="L20" s="43" t="b">
        <f ca="1">IFERROR(__xludf.DUMMYFUNCTION("""COMPUTED_VALUE"""),TRUE)</f>
        <v>1</v>
      </c>
      <c r="M20" s="44"/>
      <c r="N20" s="41" t="b">
        <f ca="1">IFERROR(__xludf.DUMMYFUNCTION("""COMPUTED_VALUE"""),TRUE)</f>
        <v>1</v>
      </c>
      <c r="O20" s="43" t="b">
        <f ca="1">IFERROR(__xludf.DUMMYFUNCTION("""COMPUTED_VALUE"""),TRUE)</f>
        <v>1</v>
      </c>
      <c r="P20" s="43"/>
      <c r="Q20" s="43" t="b">
        <f ca="1">IFERROR(__xludf.DUMMYFUNCTION("""COMPUTED_VALUE"""),TRUE)</f>
        <v>1</v>
      </c>
      <c r="R20" s="43"/>
      <c r="S20" s="43"/>
      <c r="T20" s="43"/>
      <c r="U20" s="43"/>
      <c r="V20" s="43" t="b">
        <f ca="1">IFERROR(__xludf.DUMMYFUNCTION("""COMPUTED_VALUE"""),TRUE)</f>
        <v>1</v>
      </c>
      <c r="W20" s="44"/>
      <c r="X20" s="45"/>
      <c r="Y20" s="89"/>
      <c r="Z20" s="46">
        <f ca="1">IFERROR(__xludf.DUMMYFUNCTION("ArrayFormula(mod(COUNTUNIQUE($C$3:C20),2))"),1)</f>
        <v>1</v>
      </c>
    </row>
    <row r="21" spans="1:26" ht="70">
      <c r="A21" s="47">
        <f ca="1">IFERROR(__xludf.DUMMYFUNCTION("""COMPUTED_VALUE"""),3)</f>
        <v>3</v>
      </c>
      <c r="B21" s="47">
        <f ca="1">IFERROR(__xludf.DUMMYFUNCTION("""COMPUTED_VALUE"""),4)</f>
        <v>4</v>
      </c>
      <c r="C21" s="48" t="str">
        <f ca="1">IFERROR(__xludf.DUMMYFUNCTION("""COMPUTED_VALUE"""),"Data and information – Branching databases")</f>
        <v>Data and information – Branching databases</v>
      </c>
      <c r="D21" s="47">
        <f ca="1">IFERROR(__xludf.DUMMYFUNCTION("""COMPUTED_VALUE"""),1)</f>
        <v>1</v>
      </c>
      <c r="E21" s="48" t="str">
        <f ca="1">IFERROR(__xludf.DUMMYFUNCTION("""COMPUTED_VALUE"""),"-To create questions with yes/no answers")</f>
        <v>-To create questions with yes/no answers</v>
      </c>
      <c r="F21" s="49" t="str">
        <f ca="1">IFERROR(__xludf.DUMMYFUNCTION("""COMPUTED_VALUE""")," -I can create two groups of objects separated by one attribute
- I can investigate questions with yes/no answers
- I can make up a yes/no question about a collection of objects")</f>
        <v xml:space="preserve"> -I can create two groups of objects separated by one attribute
- I can investigate questions with yes/no answers
- I can make up a yes/no question about a collection of objects</v>
      </c>
      <c r="G21" s="50"/>
      <c r="H21" s="51"/>
      <c r="I21" s="51"/>
      <c r="J21" s="51"/>
      <c r="K21" s="51"/>
      <c r="L21" s="52" t="b">
        <f ca="1">IFERROR(__xludf.DUMMYFUNCTION("""COMPUTED_VALUE"""),TRUE)</f>
        <v>1</v>
      </c>
      <c r="M21" s="53"/>
      <c r="N21" s="50"/>
      <c r="O21" s="51"/>
      <c r="P21" s="51"/>
      <c r="Q21" s="51"/>
      <c r="R21" s="52" t="b">
        <f ca="1">IFERROR(__xludf.DUMMYFUNCTION("""COMPUTED_VALUE"""),TRUE)</f>
        <v>1</v>
      </c>
      <c r="S21" s="51"/>
      <c r="T21" s="51"/>
      <c r="U21" s="51"/>
      <c r="V21" s="51"/>
      <c r="W21" s="53"/>
      <c r="X21" s="71"/>
      <c r="Y21" s="94"/>
      <c r="Z21" s="55">
        <f ca="1">IFERROR(__xludf.DUMMYFUNCTION("ArrayFormula(mod(COUNTUNIQUE($C$3:C21),2))"),0)</f>
        <v>0</v>
      </c>
    </row>
    <row r="22" spans="1:26" ht="70">
      <c r="A22" s="29">
        <f ca="1">IFERROR(__xludf.DUMMYFUNCTION("""COMPUTED_VALUE"""),3)</f>
        <v>3</v>
      </c>
      <c r="B22" s="29">
        <f ca="1">IFERROR(__xludf.DUMMYFUNCTION("""COMPUTED_VALUE"""),4)</f>
        <v>4</v>
      </c>
      <c r="C22" s="30" t="str">
        <f ca="1">IFERROR(__xludf.DUMMYFUNCTION("""COMPUTED_VALUE"""),"Data and information – Branching databases")</f>
        <v>Data and information – Branching databases</v>
      </c>
      <c r="D22" s="29">
        <f ca="1">IFERROR(__xludf.DUMMYFUNCTION("""COMPUTED_VALUE"""),2)</f>
        <v>2</v>
      </c>
      <c r="E22" s="30" t="str">
        <f ca="1">IFERROR(__xludf.DUMMYFUNCTION("""COMPUTED_VALUE"""),"-To identify the attributes needed to collect data about an object")</f>
        <v>-To identify the attributes needed to collect data about an object</v>
      </c>
      <c r="F22" s="31" t="str">
        <f ca="1">IFERROR(__xludf.DUMMYFUNCTION("""COMPUTED_VALUE""")," -I can arrange objects into a tree structure
- I can create a group of objects within an existing group
- I can select an attribute to separate objects into groups")</f>
        <v xml:space="preserve"> -I can arrange objects into a tree structure
- I can create a group of objects within an existing group
- I can select an attribute to separate objects into groups</v>
      </c>
      <c r="G22" s="56"/>
      <c r="H22" s="57"/>
      <c r="I22" s="57"/>
      <c r="J22" s="57"/>
      <c r="K22" s="57"/>
      <c r="L22" s="33" t="b">
        <f ca="1">IFERROR(__xludf.DUMMYFUNCTION("""COMPUTED_VALUE"""),TRUE)</f>
        <v>1</v>
      </c>
      <c r="M22" s="58"/>
      <c r="N22" s="56"/>
      <c r="O22" s="57"/>
      <c r="P22" s="57"/>
      <c r="Q22" s="57"/>
      <c r="R22" s="33" t="b">
        <f ca="1">IFERROR(__xludf.DUMMYFUNCTION("""COMPUTED_VALUE"""),TRUE)</f>
        <v>1</v>
      </c>
      <c r="S22" s="57"/>
      <c r="T22" s="57"/>
      <c r="U22" s="57"/>
      <c r="V22" s="57"/>
      <c r="W22" s="58"/>
      <c r="X22" s="72"/>
      <c r="Y22" s="95"/>
      <c r="Z22" s="60">
        <f ca="1">IFERROR(__xludf.DUMMYFUNCTION("ArrayFormula(mod(COUNTUNIQUE($C$3:C22),2))"),0)</f>
        <v>0</v>
      </c>
    </row>
    <row r="23" spans="1:26" ht="56">
      <c r="A23" s="29">
        <f ca="1">IFERROR(__xludf.DUMMYFUNCTION("""COMPUTED_VALUE"""),3)</f>
        <v>3</v>
      </c>
      <c r="B23" s="29">
        <f ca="1">IFERROR(__xludf.DUMMYFUNCTION("""COMPUTED_VALUE"""),4)</f>
        <v>4</v>
      </c>
      <c r="C23" s="30" t="str">
        <f ca="1">IFERROR(__xludf.DUMMYFUNCTION("""COMPUTED_VALUE"""),"Data and information – Branching databases")</f>
        <v>Data and information – Branching databases</v>
      </c>
      <c r="D23" s="29">
        <f ca="1">IFERROR(__xludf.DUMMYFUNCTION("""COMPUTED_VALUE"""),3)</f>
        <v>3</v>
      </c>
      <c r="E23" s="30" t="str">
        <f ca="1">IFERROR(__xludf.DUMMYFUNCTION("""COMPUTED_VALUE"""),"-To create a branching database")</f>
        <v>-To create a branching database</v>
      </c>
      <c r="F23" s="31" t="str">
        <f ca="1">IFERROR(__xludf.DUMMYFUNCTION("""COMPUTED_VALUE""")," -I can group objects using my own yes/no questions
- I can select objects to arrange in a branching database
- I can test my branching database to see if it works")</f>
        <v xml:space="preserve"> -I can group objects using my own yes/no questions
- I can select objects to arrange in a branching database
- I can test my branching database to see if it works</v>
      </c>
      <c r="G23" s="56"/>
      <c r="H23" s="57"/>
      <c r="I23" s="57"/>
      <c r="J23" s="57"/>
      <c r="K23" s="57"/>
      <c r="L23" s="33" t="b">
        <f ca="1">IFERROR(__xludf.DUMMYFUNCTION("""COMPUTED_VALUE"""),TRUE)</f>
        <v>1</v>
      </c>
      <c r="M23" s="58"/>
      <c r="N23" s="56"/>
      <c r="O23" s="57"/>
      <c r="P23" s="57"/>
      <c r="Q23" s="57"/>
      <c r="R23" s="33" t="b">
        <f ca="1">IFERROR(__xludf.DUMMYFUNCTION("""COMPUTED_VALUE"""),TRUE)</f>
        <v>1</v>
      </c>
      <c r="S23" s="33" t="b">
        <f ca="1">IFERROR(__xludf.DUMMYFUNCTION("""COMPUTED_VALUE"""),TRUE)</f>
        <v>1</v>
      </c>
      <c r="T23" s="57"/>
      <c r="U23" s="57"/>
      <c r="V23" s="57"/>
      <c r="W23" s="58"/>
      <c r="X23" s="72"/>
      <c r="Y23" s="95"/>
      <c r="Z23" s="60">
        <f ca="1">IFERROR(__xludf.DUMMYFUNCTION("ArrayFormula(mod(COUNTUNIQUE($C$3:C23),2))"),0)</f>
        <v>0</v>
      </c>
    </row>
    <row r="24" spans="1:26" ht="56">
      <c r="A24" s="29">
        <f ca="1">IFERROR(__xludf.DUMMYFUNCTION("""COMPUTED_VALUE"""),3)</f>
        <v>3</v>
      </c>
      <c r="B24" s="29">
        <f ca="1">IFERROR(__xludf.DUMMYFUNCTION("""COMPUTED_VALUE"""),4)</f>
        <v>4</v>
      </c>
      <c r="C24" s="30" t="str">
        <f ca="1">IFERROR(__xludf.DUMMYFUNCTION("""COMPUTED_VALUE"""),"Data and information – Branching databases")</f>
        <v>Data and information – Branching databases</v>
      </c>
      <c r="D24" s="29">
        <f ca="1">IFERROR(__xludf.DUMMYFUNCTION("""COMPUTED_VALUE"""),4)</f>
        <v>4</v>
      </c>
      <c r="E24" s="30" t="str">
        <f ca="1">IFERROR(__xludf.DUMMYFUNCTION("""COMPUTED_VALUE"""),"-To explain why it is helpful for a database to be well structured")</f>
        <v>-To explain why it is helpful for a database to be well structured</v>
      </c>
      <c r="F24" s="31" t="str">
        <f ca="1">IFERROR(__xludf.DUMMYFUNCTION("""COMPUTED_VALUE""")," -I can compare two branching database structures
- I can create yes/no questions using given attributes
- I can explain that questions need to be ordered carefully to split objects into similarly sized groups")</f>
        <v xml:space="preserve"> -I can compare two branching database structures
- I can create yes/no questions using given attributes
- I can explain that questions need to be ordered carefully to split objects into similarly sized groups</v>
      </c>
      <c r="G24" s="56"/>
      <c r="H24" s="57"/>
      <c r="I24" s="57"/>
      <c r="J24" s="57"/>
      <c r="K24" s="57"/>
      <c r="L24" s="33" t="b">
        <f ca="1">IFERROR(__xludf.DUMMYFUNCTION("""COMPUTED_VALUE"""),TRUE)</f>
        <v>1</v>
      </c>
      <c r="M24" s="58"/>
      <c r="N24" s="56"/>
      <c r="O24" s="57"/>
      <c r="P24" s="57"/>
      <c r="Q24" s="57" t="b">
        <f ca="1">IFERROR(__xludf.DUMMYFUNCTION("""COMPUTED_VALUE"""),TRUE)</f>
        <v>1</v>
      </c>
      <c r="R24" s="33" t="b">
        <f ca="1">IFERROR(__xludf.DUMMYFUNCTION("""COMPUTED_VALUE"""),TRUE)</f>
        <v>1</v>
      </c>
      <c r="S24" s="33" t="b">
        <f ca="1">IFERROR(__xludf.DUMMYFUNCTION("""COMPUTED_VALUE"""),TRUE)</f>
        <v>1</v>
      </c>
      <c r="T24" s="57"/>
      <c r="U24" s="57"/>
      <c r="V24" s="57"/>
      <c r="W24" s="58"/>
      <c r="X24" s="72"/>
      <c r="Y24" s="95"/>
      <c r="Z24" s="60">
        <f ca="1">IFERROR(__xludf.DUMMYFUNCTION("ArrayFormula(mod(COUNTUNIQUE($C$3:C24),2))"),0)</f>
        <v>0</v>
      </c>
    </row>
    <row r="25" spans="1:26" ht="84">
      <c r="A25" s="29">
        <f ca="1">IFERROR(__xludf.DUMMYFUNCTION("""COMPUTED_VALUE"""),3)</f>
        <v>3</v>
      </c>
      <c r="B25" s="29">
        <f ca="1">IFERROR(__xludf.DUMMYFUNCTION("""COMPUTED_VALUE"""),4)</f>
        <v>4</v>
      </c>
      <c r="C25" s="30" t="str">
        <f ca="1">IFERROR(__xludf.DUMMYFUNCTION("""COMPUTED_VALUE"""),"Data and information – Branching databases")</f>
        <v>Data and information – Branching databases</v>
      </c>
      <c r="D25" s="29">
        <f ca="1">IFERROR(__xludf.DUMMYFUNCTION("""COMPUTED_VALUE"""),5)</f>
        <v>5</v>
      </c>
      <c r="E25" s="30" t="str">
        <f ca="1">IFERROR(__xludf.DUMMYFUNCTION("""COMPUTED_VALUE"""),"-To plan the structure of a branching database")</f>
        <v>-To plan the structure of a branching database</v>
      </c>
      <c r="F25" s="31" t="str">
        <f ca="1">IFERROR(__xludf.DUMMYFUNCTION("""COMPUTED_VALUE""")," -I can create a physical version of a branching database
- I can create questions that will enable objects to be uniquely identified
- I can independently create questions to use in a branching database ")</f>
        <v xml:space="preserve"> -I can create a physical version of a branching database
- I can create questions that will enable objects to be uniquely identified
- I can independently create questions to use in a branching database </v>
      </c>
      <c r="G25" s="56"/>
      <c r="H25" s="57"/>
      <c r="I25" s="57"/>
      <c r="J25" s="57"/>
      <c r="K25" s="57"/>
      <c r="L25" s="33" t="b">
        <f ca="1">IFERROR(__xludf.DUMMYFUNCTION("""COMPUTED_VALUE"""),TRUE)</f>
        <v>1</v>
      </c>
      <c r="M25" s="58"/>
      <c r="N25" s="56"/>
      <c r="O25" s="57"/>
      <c r="P25" s="57"/>
      <c r="Q25" s="57"/>
      <c r="R25" s="33" t="b">
        <f ca="1">IFERROR(__xludf.DUMMYFUNCTION("""COMPUTED_VALUE"""),TRUE)</f>
        <v>1</v>
      </c>
      <c r="S25" s="33" t="b">
        <f ca="1">IFERROR(__xludf.DUMMYFUNCTION("""COMPUTED_VALUE"""),TRUE)</f>
        <v>1</v>
      </c>
      <c r="T25" s="57"/>
      <c r="U25" s="57"/>
      <c r="V25" s="57"/>
      <c r="W25" s="58"/>
      <c r="X25" s="72"/>
      <c r="Y25" s="95"/>
      <c r="Z25" s="60">
        <f ca="1">IFERROR(__xludf.DUMMYFUNCTION("ArrayFormula(mod(COUNTUNIQUE($C$3:C25),2))"),0)</f>
        <v>0</v>
      </c>
    </row>
    <row r="26" spans="1:26" ht="84">
      <c r="A26" s="38">
        <f ca="1">IFERROR(__xludf.DUMMYFUNCTION("""COMPUTED_VALUE"""),3)</f>
        <v>3</v>
      </c>
      <c r="B26" s="38">
        <f ca="1">IFERROR(__xludf.DUMMYFUNCTION("""COMPUTED_VALUE"""),4)</f>
        <v>4</v>
      </c>
      <c r="C26" s="39" t="str">
        <f ca="1">IFERROR(__xludf.DUMMYFUNCTION("""COMPUTED_VALUE"""),"Data and information – Branching databases")</f>
        <v>Data and information – Branching databases</v>
      </c>
      <c r="D26" s="38">
        <f ca="1">IFERROR(__xludf.DUMMYFUNCTION("""COMPUTED_VALUE"""),6)</f>
        <v>6</v>
      </c>
      <c r="E26" s="39" t="str">
        <f ca="1">IFERROR(__xludf.DUMMYFUNCTION("""COMPUTED_VALUE"""),"-To independently create an identification tool")</f>
        <v>-To independently create an identification tool</v>
      </c>
      <c r="F26" s="40" t="str">
        <f ca="1">IFERROR(__xludf.DUMMYFUNCTION("""COMPUTED_VALUE""")," -I can create a branching database that reflects my plan
- I can suggest real-world uses for branching databases
- I can work with a partner to test my identification tool")</f>
        <v xml:space="preserve"> -I can create a branching database that reflects my plan
- I can suggest real-world uses for branching databases
- I can work with a partner to test my identification tool</v>
      </c>
      <c r="G26" s="61"/>
      <c r="H26" s="62"/>
      <c r="I26" s="62"/>
      <c r="J26" s="62"/>
      <c r="K26" s="62"/>
      <c r="L26" s="42" t="b">
        <f ca="1">IFERROR(__xludf.DUMMYFUNCTION("""COMPUTED_VALUE"""),TRUE)</f>
        <v>1</v>
      </c>
      <c r="M26" s="63"/>
      <c r="N26" s="61"/>
      <c r="O26" s="62"/>
      <c r="P26" s="62"/>
      <c r="Q26" s="42" t="b">
        <f ca="1">IFERROR(__xludf.DUMMYFUNCTION("""COMPUTED_VALUE"""),TRUE)</f>
        <v>1</v>
      </c>
      <c r="R26" s="42" t="b">
        <f ca="1">IFERROR(__xludf.DUMMYFUNCTION("""COMPUTED_VALUE"""),TRUE)</f>
        <v>1</v>
      </c>
      <c r="S26" s="62"/>
      <c r="T26" s="62"/>
      <c r="U26" s="62"/>
      <c r="V26" s="62"/>
      <c r="W26" s="63"/>
      <c r="X26" s="73"/>
      <c r="Y26" s="96"/>
      <c r="Z26" s="65">
        <f ca="1">IFERROR(__xludf.DUMMYFUNCTION("ArrayFormula(mod(COUNTUNIQUE($C$3:C26),2))"),0)</f>
        <v>0</v>
      </c>
    </row>
    <row r="27" spans="1:26" ht="84">
      <c r="A27" s="47">
        <f ca="1">IFERROR(__xludf.DUMMYFUNCTION("""COMPUTED_VALUE"""),3)</f>
        <v>3</v>
      </c>
      <c r="B27" s="47">
        <f ca="1">IFERROR(__xludf.DUMMYFUNCTION("""COMPUTED_VALUE"""),5)</f>
        <v>5</v>
      </c>
      <c r="C27" s="48" t="str">
        <f ca="1">IFERROR(__xludf.DUMMYFUNCTION("""COMPUTED_VALUE"""),"Creating media – Desktop publishing")</f>
        <v>Creating media – Desktop publishing</v>
      </c>
      <c r="D27" s="47">
        <f ca="1">IFERROR(__xludf.DUMMYFUNCTION("""COMPUTED_VALUE"""),1)</f>
        <v>1</v>
      </c>
      <c r="E27" s="48" t="str">
        <f ca="1">IFERROR(__xludf.DUMMYFUNCTION("""COMPUTED_VALUE"""),"-To recognise how text and images convey information")</f>
        <v>-To recognise how text and images convey information</v>
      </c>
      <c r="F27" s="49" t="str">
        <f ca="1">IFERROR(__xludf.DUMMYFUNCTION("""COMPUTED_VALUE""")," -I can explain the difference between text and images
- I can identify the advantages and disadvantages of using text and images
- I can recognise that text and images can communicate messages clearly")</f>
        <v xml:space="preserve"> -I can explain the difference between text and images
- I can identify the advantages and disadvantages of using text and images
- I can recognise that text and images can communicate messages clearly</v>
      </c>
      <c r="G27" s="66"/>
      <c r="H27" s="67"/>
      <c r="I27" s="67"/>
      <c r="J27" s="67"/>
      <c r="K27" s="67" t="b">
        <f ca="1">IFERROR(__xludf.DUMMYFUNCTION("""COMPUTED_VALUE"""),TRUE)</f>
        <v>1</v>
      </c>
      <c r="L27" s="67" t="b">
        <f ca="1">IFERROR(__xludf.DUMMYFUNCTION("""COMPUTED_VALUE"""),TRUE)</f>
        <v>1</v>
      </c>
      <c r="M27" s="68"/>
      <c r="N27" s="66"/>
      <c r="O27" s="67" t="b">
        <f ca="1">IFERROR(__xludf.DUMMYFUNCTION("""COMPUTED_VALUE"""),TRUE)</f>
        <v>1</v>
      </c>
      <c r="P27" s="67"/>
      <c r="Q27" s="67"/>
      <c r="R27" s="67"/>
      <c r="S27" s="67"/>
      <c r="T27" s="67"/>
      <c r="U27" s="67"/>
      <c r="V27" s="67"/>
      <c r="W27" s="68"/>
      <c r="X27" s="54"/>
      <c r="Y27" s="90" t="s">
        <v>60</v>
      </c>
      <c r="Z27" s="70">
        <f ca="1">IFERROR(__xludf.DUMMYFUNCTION("ArrayFormula(mod(COUNTUNIQUE($C$3:C27),2))"),1)</f>
        <v>1</v>
      </c>
    </row>
    <row r="28" spans="1:26" ht="70">
      <c r="A28" s="29">
        <f ca="1">IFERROR(__xludf.DUMMYFUNCTION("""COMPUTED_VALUE"""),3)</f>
        <v>3</v>
      </c>
      <c r="B28" s="29">
        <f ca="1">IFERROR(__xludf.DUMMYFUNCTION("""COMPUTED_VALUE"""),5)</f>
        <v>5</v>
      </c>
      <c r="C28" s="30" t="str">
        <f ca="1">IFERROR(__xludf.DUMMYFUNCTION("""COMPUTED_VALUE"""),"Creating media – Desktop publishing")</f>
        <v>Creating media – Desktop publishing</v>
      </c>
      <c r="D28" s="29">
        <f ca="1">IFERROR(__xludf.DUMMYFUNCTION("""COMPUTED_VALUE"""),2)</f>
        <v>2</v>
      </c>
      <c r="E28" s="30" t="str">
        <f ca="1">IFERROR(__xludf.DUMMYFUNCTION("""COMPUTED_VALUE"""),"-To recognise that text and layout can be edited")</f>
        <v>-To recognise that text and layout can be edited</v>
      </c>
      <c r="F28" s="31" t="str">
        <f ca="1">IFERROR(__xludf.DUMMYFUNCTION("""COMPUTED_VALUE""")," -I can change font style, size, and colours for a given purpose
- I can edit text
- I can explain that text can be changed to communicate more clearly")</f>
        <v xml:space="preserve"> -I can change font style, size, and colours for a given purpose
- I can edit text
- I can explain that text can be changed to communicate more clearly</v>
      </c>
      <c r="G28" s="32"/>
      <c r="H28" s="34"/>
      <c r="I28" s="34"/>
      <c r="J28" s="34"/>
      <c r="K28" s="34" t="b">
        <f ca="1">IFERROR(__xludf.DUMMYFUNCTION("""COMPUTED_VALUE"""),TRUE)</f>
        <v>1</v>
      </c>
      <c r="L28" s="34" t="b">
        <f ca="1">IFERROR(__xludf.DUMMYFUNCTION("""COMPUTED_VALUE"""),TRUE)</f>
        <v>1</v>
      </c>
      <c r="M28" s="35"/>
      <c r="N28" s="32"/>
      <c r="O28" s="34" t="b">
        <f ca="1">IFERROR(__xludf.DUMMYFUNCTION("""COMPUTED_VALUE"""),TRUE)</f>
        <v>1</v>
      </c>
      <c r="P28" s="34"/>
      <c r="Q28" s="34"/>
      <c r="R28" s="34"/>
      <c r="S28" s="34" t="b">
        <f ca="1">IFERROR(__xludf.DUMMYFUNCTION("""COMPUTED_VALUE"""),TRUE)</f>
        <v>1</v>
      </c>
      <c r="T28" s="34"/>
      <c r="U28" s="34"/>
      <c r="V28" s="34"/>
      <c r="W28" s="35"/>
      <c r="X28" s="59"/>
      <c r="Y28" s="91" t="s">
        <v>60</v>
      </c>
      <c r="Z28" s="37">
        <f ca="1">IFERROR(__xludf.DUMMYFUNCTION("ArrayFormula(mod(COUNTUNIQUE($C$3:C28),2))"),1)</f>
        <v>1</v>
      </c>
    </row>
    <row r="29" spans="1:26" ht="56">
      <c r="A29" s="29">
        <f ca="1">IFERROR(__xludf.DUMMYFUNCTION("""COMPUTED_VALUE"""),3)</f>
        <v>3</v>
      </c>
      <c r="B29" s="29">
        <f ca="1">IFERROR(__xludf.DUMMYFUNCTION("""COMPUTED_VALUE"""),5)</f>
        <v>5</v>
      </c>
      <c r="C29" s="30" t="str">
        <f ca="1">IFERROR(__xludf.DUMMYFUNCTION("""COMPUTED_VALUE"""),"Creating media – Desktop publishing")</f>
        <v>Creating media – Desktop publishing</v>
      </c>
      <c r="D29" s="29">
        <f ca="1">IFERROR(__xludf.DUMMYFUNCTION("""COMPUTED_VALUE"""),3)</f>
        <v>3</v>
      </c>
      <c r="E29" s="30" t="str">
        <f ca="1">IFERROR(__xludf.DUMMYFUNCTION("""COMPUTED_VALUE"""),"-To choose appropriate page settings")</f>
        <v>-To choose appropriate page settings</v>
      </c>
      <c r="F29" s="31" t="str">
        <f ca="1">IFERROR(__xludf.DUMMYFUNCTION("""COMPUTED_VALUE""")," -I can create a template for a particular purpose
- I can define the term 'page orientation'
- I can recognise placeholders and say why they are important")</f>
        <v xml:space="preserve"> -I can create a template for a particular purpose
- I can define the term 'page orientation'
- I can recognise placeholders and say why they are important</v>
      </c>
      <c r="G29" s="32"/>
      <c r="H29" s="34"/>
      <c r="I29" s="34"/>
      <c r="J29" s="34"/>
      <c r="K29" s="34" t="b">
        <f ca="1">IFERROR(__xludf.DUMMYFUNCTION("""COMPUTED_VALUE"""),TRUE)</f>
        <v>1</v>
      </c>
      <c r="L29" s="34" t="b">
        <f ca="1">IFERROR(__xludf.DUMMYFUNCTION("""COMPUTED_VALUE"""),TRUE)</f>
        <v>1</v>
      </c>
      <c r="M29" s="35"/>
      <c r="N29" s="32"/>
      <c r="O29" s="34" t="b">
        <f ca="1">IFERROR(__xludf.DUMMYFUNCTION("""COMPUTED_VALUE"""),TRUE)</f>
        <v>1</v>
      </c>
      <c r="P29" s="34"/>
      <c r="Q29" s="34"/>
      <c r="R29" s="34"/>
      <c r="S29" s="34" t="b">
        <f ca="1">IFERROR(__xludf.DUMMYFUNCTION("""COMPUTED_VALUE"""),TRUE)</f>
        <v>1</v>
      </c>
      <c r="T29" s="34"/>
      <c r="U29" s="34"/>
      <c r="V29" s="34"/>
      <c r="W29" s="35"/>
      <c r="X29" s="59"/>
      <c r="Y29" s="91" t="s">
        <v>60</v>
      </c>
      <c r="Z29" s="37">
        <f ca="1">IFERROR(__xludf.DUMMYFUNCTION("ArrayFormula(mod(COUNTUNIQUE($C$3:C29),2))"),1)</f>
        <v>1</v>
      </c>
    </row>
    <row r="30" spans="1:26" ht="56">
      <c r="A30" s="29">
        <f ca="1">IFERROR(__xludf.DUMMYFUNCTION("""COMPUTED_VALUE"""),3)</f>
        <v>3</v>
      </c>
      <c r="B30" s="29">
        <f ca="1">IFERROR(__xludf.DUMMYFUNCTION("""COMPUTED_VALUE"""),5)</f>
        <v>5</v>
      </c>
      <c r="C30" s="30" t="str">
        <f ca="1">IFERROR(__xludf.DUMMYFUNCTION("""COMPUTED_VALUE"""),"Creating media – Desktop publishing")</f>
        <v>Creating media – Desktop publishing</v>
      </c>
      <c r="D30" s="29">
        <f ca="1">IFERROR(__xludf.DUMMYFUNCTION("""COMPUTED_VALUE"""),4)</f>
        <v>4</v>
      </c>
      <c r="E30" s="30" t="str">
        <f ca="1">IFERROR(__xludf.DUMMYFUNCTION("""COMPUTED_VALUE"""),"-To add content to a desktop publishing publication")</f>
        <v>-To add content to a desktop publishing publication</v>
      </c>
      <c r="F30" s="31" t="str">
        <f ca="1">IFERROR(__xludf.DUMMYFUNCTION("""COMPUTED_VALUE""")," -I can choose the best locations for my content
- I can make changes to content after I’ve added it
- I can paste text and images to create a magazine cover")</f>
        <v xml:space="preserve"> -I can choose the best locations for my content
- I can make changes to content after I’ve added it
- I can paste text and images to create a magazine cover</v>
      </c>
      <c r="G30" s="32"/>
      <c r="H30" s="34"/>
      <c r="I30" s="34"/>
      <c r="J30" s="34"/>
      <c r="K30" s="34" t="b">
        <f ca="1">IFERROR(__xludf.DUMMYFUNCTION("""COMPUTED_VALUE"""),TRUE)</f>
        <v>1</v>
      </c>
      <c r="L30" s="34" t="b">
        <f ca="1">IFERROR(__xludf.DUMMYFUNCTION("""COMPUTED_VALUE"""),TRUE)</f>
        <v>1</v>
      </c>
      <c r="M30" s="35"/>
      <c r="N30" s="32"/>
      <c r="O30" s="34" t="b">
        <f ca="1">IFERROR(__xludf.DUMMYFUNCTION("""COMPUTED_VALUE"""),TRUE)</f>
        <v>1</v>
      </c>
      <c r="P30" s="34"/>
      <c r="Q30" s="34"/>
      <c r="R30" s="34"/>
      <c r="S30" s="34" t="b">
        <f ca="1">IFERROR(__xludf.DUMMYFUNCTION("""COMPUTED_VALUE"""),TRUE)</f>
        <v>1</v>
      </c>
      <c r="T30" s="34"/>
      <c r="U30" s="34"/>
      <c r="V30" s="34"/>
      <c r="W30" s="35"/>
      <c r="X30" s="59"/>
      <c r="Y30" s="91" t="s">
        <v>60</v>
      </c>
      <c r="Z30" s="37">
        <f ca="1">IFERROR(__xludf.DUMMYFUNCTION("ArrayFormula(mod(COUNTUNIQUE($C$3:C30),2))"),1)</f>
        <v>1</v>
      </c>
    </row>
    <row r="31" spans="1:26" ht="42">
      <c r="A31" s="29">
        <f ca="1">IFERROR(__xludf.DUMMYFUNCTION("""COMPUTED_VALUE"""),3)</f>
        <v>3</v>
      </c>
      <c r="B31" s="29">
        <f ca="1">IFERROR(__xludf.DUMMYFUNCTION("""COMPUTED_VALUE"""),5)</f>
        <v>5</v>
      </c>
      <c r="C31" s="30" t="str">
        <f ca="1">IFERROR(__xludf.DUMMYFUNCTION("""COMPUTED_VALUE"""),"Creating media – Desktop publishing")</f>
        <v>Creating media – Desktop publishing</v>
      </c>
      <c r="D31" s="29">
        <f ca="1">IFERROR(__xludf.DUMMYFUNCTION("""COMPUTED_VALUE"""),5)</f>
        <v>5</v>
      </c>
      <c r="E31" s="30" t="str">
        <f ca="1">IFERROR(__xludf.DUMMYFUNCTION("""COMPUTED_VALUE"""),"-To consider how different layouts can suit different purposes")</f>
        <v>-To consider how different layouts can suit different purposes</v>
      </c>
      <c r="F31" s="31" t="str">
        <f ca="1">IFERROR(__xludf.DUMMYFUNCTION("""COMPUTED_VALUE""")," -I can choose a suitable layout for a given purpose
- I can identify different layouts
- I can match a layout to a purpose")</f>
        <v xml:space="preserve"> -I can choose a suitable layout for a given purpose
- I can identify different layouts
- I can match a layout to a purpose</v>
      </c>
      <c r="G31" s="32"/>
      <c r="H31" s="34"/>
      <c r="I31" s="34"/>
      <c r="J31" s="34"/>
      <c r="K31" s="34" t="b">
        <f ca="1">IFERROR(__xludf.DUMMYFUNCTION("""COMPUTED_VALUE"""),TRUE)</f>
        <v>1</v>
      </c>
      <c r="L31" s="34" t="b">
        <f ca="1">IFERROR(__xludf.DUMMYFUNCTION("""COMPUTED_VALUE"""),TRUE)</f>
        <v>1</v>
      </c>
      <c r="M31" s="35"/>
      <c r="N31" s="32"/>
      <c r="O31" s="34" t="b">
        <f ca="1">IFERROR(__xludf.DUMMYFUNCTION("""COMPUTED_VALUE"""),TRUE)</f>
        <v>1</v>
      </c>
      <c r="P31" s="34"/>
      <c r="Q31" s="34" t="b">
        <f ca="1">IFERROR(__xludf.DUMMYFUNCTION("""COMPUTED_VALUE"""),TRUE)</f>
        <v>1</v>
      </c>
      <c r="R31" s="34"/>
      <c r="S31" s="34" t="b">
        <f ca="1">IFERROR(__xludf.DUMMYFUNCTION("""COMPUTED_VALUE"""),TRUE)</f>
        <v>1</v>
      </c>
      <c r="T31" s="34"/>
      <c r="U31" s="34"/>
      <c r="V31" s="34"/>
      <c r="W31" s="35"/>
      <c r="X31" s="59"/>
      <c r="Y31" s="91" t="s">
        <v>60</v>
      </c>
      <c r="Z31" s="37">
        <f ca="1">IFERROR(__xludf.DUMMYFUNCTION("ArrayFormula(mod(COUNTUNIQUE($C$3:C31),2))"),1)</f>
        <v>1</v>
      </c>
    </row>
    <row r="32" spans="1:26" ht="70">
      <c r="A32" s="38">
        <f ca="1">IFERROR(__xludf.DUMMYFUNCTION("""COMPUTED_VALUE"""),3)</f>
        <v>3</v>
      </c>
      <c r="B32" s="38">
        <f ca="1">IFERROR(__xludf.DUMMYFUNCTION("""COMPUTED_VALUE"""),5)</f>
        <v>5</v>
      </c>
      <c r="C32" s="39" t="str">
        <f ca="1">IFERROR(__xludf.DUMMYFUNCTION("""COMPUTED_VALUE"""),"Creating media – Desktop publishing")</f>
        <v>Creating media – Desktop publishing</v>
      </c>
      <c r="D32" s="38">
        <f ca="1">IFERROR(__xludf.DUMMYFUNCTION("""COMPUTED_VALUE"""),6)</f>
        <v>6</v>
      </c>
      <c r="E32" s="39" t="str">
        <f ca="1">IFERROR(__xludf.DUMMYFUNCTION("""COMPUTED_VALUE"""),"-To consider the benefits of desktop publishing")</f>
        <v>-To consider the benefits of desktop publishing</v>
      </c>
      <c r="F32" s="40" t="str">
        <f ca="1">IFERROR(__xludf.DUMMYFUNCTION("""COMPUTED_VALUE""")," -I can compare work made on desktop publishing to work created by hand
- I can identify the uses of desktop publishing in the real world
- I can say why desktop publishing might be helpful")</f>
        <v xml:space="preserve"> -I can compare work made on desktop publishing to work created by hand
- I can identify the uses of desktop publishing in the real world
- I can say why desktop publishing might be helpful</v>
      </c>
      <c r="G32" s="41"/>
      <c r="H32" s="43"/>
      <c r="I32" s="43"/>
      <c r="J32" s="43"/>
      <c r="K32" s="43" t="b">
        <f ca="1">IFERROR(__xludf.DUMMYFUNCTION("""COMPUTED_VALUE"""),TRUE)</f>
        <v>1</v>
      </c>
      <c r="L32" s="43" t="b">
        <f ca="1">IFERROR(__xludf.DUMMYFUNCTION("""COMPUTED_VALUE"""),TRUE)</f>
        <v>1</v>
      </c>
      <c r="M32" s="44"/>
      <c r="N32" s="41"/>
      <c r="O32" s="43" t="b">
        <f ca="1">IFERROR(__xludf.DUMMYFUNCTION("""COMPUTED_VALUE"""),TRUE)</f>
        <v>1</v>
      </c>
      <c r="P32" s="43"/>
      <c r="Q32" s="43" t="b">
        <f ca="1">IFERROR(__xludf.DUMMYFUNCTION("""COMPUTED_VALUE"""),TRUE)</f>
        <v>1</v>
      </c>
      <c r="R32" s="43"/>
      <c r="S32" s="43" t="b">
        <f ca="1">IFERROR(__xludf.DUMMYFUNCTION("""COMPUTED_VALUE"""),TRUE)</f>
        <v>1</v>
      </c>
      <c r="T32" s="43" t="b">
        <f ca="1">IFERROR(__xludf.DUMMYFUNCTION("""COMPUTED_VALUE"""),TRUE)</f>
        <v>1</v>
      </c>
      <c r="U32" s="43"/>
      <c r="V32" s="43"/>
      <c r="W32" s="44"/>
      <c r="X32" s="64"/>
      <c r="Y32" s="92" t="s">
        <v>60</v>
      </c>
      <c r="Z32" s="46">
        <f ca="1">IFERROR(__xludf.DUMMYFUNCTION("ArrayFormula(mod(COUNTUNIQUE($C$3:C32),2))"),1)</f>
        <v>1</v>
      </c>
    </row>
    <row r="33" spans="1:26" ht="70">
      <c r="A33" s="47">
        <f ca="1">IFERROR(__xludf.DUMMYFUNCTION("""COMPUTED_VALUE"""),3)</f>
        <v>3</v>
      </c>
      <c r="B33" s="47">
        <f ca="1">IFERROR(__xludf.DUMMYFUNCTION("""COMPUTED_VALUE"""),6)</f>
        <v>6</v>
      </c>
      <c r="C33" s="48" t="str">
        <f ca="1">IFERROR(__xludf.DUMMYFUNCTION("""COMPUTED_VALUE"""),"Programming B - Events and actions in programs")</f>
        <v>Programming B - Events and actions in programs</v>
      </c>
      <c r="D33" s="47">
        <f ca="1">IFERROR(__xludf.DUMMYFUNCTION("""COMPUTED_VALUE"""),1)</f>
        <v>1</v>
      </c>
      <c r="E33" s="48" t="str">
        <f ca="1">IFERROR(__xludf.DUMMYFUNCTION("""COMPUTED_VALUE"""),"-To explain how a sprite moves in an existing project")</f>
        <v>-To explain how a sprite moves in an existing project</v>
      </c>
      <c r="F33" s="49" t="str">
        <f ca="1">IFERROR(__xludf.DUMMYFUNCTION("""COMPUTED_VALUE""")," -I can choose which keys to use for actions and explain my choices
- I can explain the relationship between an event and an action
- I can identify a way to improve a program")</f>
        <v xml:space="preserve"> -I can choose which keys to use for actions and explain my choices
- I can explain the relationship between an event and an action
- I can identify a way to improve a program</v>
      </c>
      <c r="G33" s="74" t="b">
        <f ca="1">IFERROR(__xludf.DUMMYFUNCTION("""COMPUTED_VALUE"""),TRUE)</f>
        <v>1</v>
      </c>
      <c r="H33" s="52" t="b">
        <f ca="1">IFERROR(__xludf.DUMMYFUNCTION("""COMPUTED_VALUE"""),TRUE)</f>
        <v>1</v>
      </c>
      <c r="I33" s="52" t="b">
        <f ca="1">IFERROR(__xludf.DUMMYFUNCTION("""COMPUTED_VALUE"""),TRUE)</f>
        <v>1</v>
      </c>
      <c r="J33" s="51"/>
      <c r="K33" s="51"/>
      <c r="L33" s="52" t="b">
        <f ca="1">IFERROR(__xludf.DUMMYFUNCTION("""COMPUTED_VALUE"""),TRUE)</f>
        <v>1</v>
      </c>
      <c r="M33" s="53"/>
      <c r="N33" s="50"/>
      <c r="O33" s="51"/>
      <c r="P33" s="51"/>
      <c r="Q33" s="51"/>
      <c r="R33" s="51"/>
      <c r="S33" s="52" t="b">
        <f ca="1">IFERROR(__xludf.DUMMYFUNCTION("""COMPUTED_VALUE"""),TRUE)</f>
        <v>1</v>
      </c>
      <c r="T33" s="51"/>
      <c r="U33" s="51"/>
      <c r="V33" s="52" t="b">
        <f ca="1">IFERROR(__xludf.DUMMYFUNCTION("""COMPUTED_VALUE"""),TRUE)</f>
        <v>1</v>
      </c>
      <c r="W33" s="53"/>
      <c r="X33" s="71"/>
      <c r="Y33" s="94"/>
      <c r="Z33" s="55">
        <f ca="1">IFERROR(__xludf.DUMMYFUNCTION("ArrayFormula(mod(COUNTUNIQUE($C$3:C33),2))"),0)</f>
        <v>0</v>
      </c>
    </row>
    <row r="34" spans="1:26" ht="56">
      <c r="A34" s="29">
        <f ca="1">IFERROR(__xludf.DUMMYFUNCTION("""COMPUTED_VALUE"""),3)</f>
        <v>3</v>
      </c>
      <c r="B34" s="29">
        <f ca="1">IFERROR(__xludf.DUMMYFUNCTION("""COMPUTED_VALUE"""),6)</f>
        <v>6</v>
      </c>
      <c r="C34" s="30" t="str">
        <f ca="1">IFERROR(__xludf.DUMMYFUNCTION("""COMPUTED_VALUE"""),"Programming B - Events and actions in programs")</f>
        <v>Programming B - Events and actions in programs</v>
      </c>
      <c r="D34" s="29">
        <f ca="1">IFERROR(__xludf.DUMMYFUNCTION("""COMPUTED_VALUE"""),2)</f>
        <v>2</v>
      </c>
      <c r="E34" s="30" t="str">
        <f ca="1">IFERROR(__xludf.DUMMYFUNCTION("""COMPUTED_VALUE"""),"-To create a program to move a sprite in four directions")</f>
        <v>-To create a program to move a sprite in four directions</v>
      </c>
      <c r="F34" s="31" t="str">
        <f ca="1">IFERROR(__xludf.DUMMYFUNCTION("""COMPUTED_VALUE""")," -I can choose a character for my project
- I can choose a suitable size for a character in a maze
- I can program movement")</f>
        <v xml:space="preserve"> -I can choose a character for my project
- I can choose a suitable size for a character in a maze
- I can program movement</v>
      </c>
      <c r="G34" s="75" t="b">
        <f ca="1">IFERROR(__xludf.DUMMYFUNCTION("""COMPUTED_VALUE"""),TRUE)</f>
        <v>1</v>
      </c>
      <c r="H34" s="33" t="b">
        <f ca="1">IFERROR(__xludf.DUMMYFUNCTION("""COMPUTED_VALUE"""),TRUE)</f>
        <v>1</v>
      </c>
      <c r="I34" s="33" t="b">
        <f ca="1">IFERROR(__xludf.DUMMYFUNCTION("""COMPUTED_VALUE"""),TRUE)</f>
        <v>1</v>
      </c>
      <c r="J34" s="57"/>
      <c r="K34" s="57"/>
      <c r="L34" s="33" t="b">
        <f ca="1">IFERROR(__xludf.DUMMYFUNCTION("""COMPUTED_VALUE"""),TRUE)</f>
        <v>1</v>
      </c>
      <c r="M34" s="58"/>
      <c r="N34" s="56"/>
      <c r="O34" s="57"/>
      <c r="P34" s="57"/>
      <c r="Q34" s="57"/>
      <c r="R34" s="57"/>
      <c r="S34" s="33" t="b">
        <f ca="1">IFERROR(__xludf.DUMMYFUNCTION("""COMPUTED_VALUE"""),TRUE)</f>
        <v>1</v>
      </c>
      <c r="T34" s="57"/>
      <c r="U34" s="57"/>
      <c r="V34" s="33" t="b">
        <f ca="1">IFERROR(__xludf.DUMMYFUNCTION("""COMPUTED_VALUE"""),TRUE)</f>
        <v>1</v>
      </c>
      <c r="W34" s="58"/>
      <c r="X34" s="72"/>
      <c r="Y34" s="95"/>
      <c r="Z34" s="60">
        <f ca="1">IFERROR(__xludf.DUMMYFUNCTION("ArrayFormula(mod(COUNTUNIQUE($C$3:C34),2))"),0)</f>
        <v>0</v>
      </c>
    </row>
    <row r="35" spans="1:26" ht="56">
      <c r="A35" s="29">
        <f ca="1">IFERROR(__xludf.DUMMYFUNCTION("""COMPUTED_VALUE"""),3)</f>
        <v>3</v>
      </c>
      <c r="B35" s="29">
        <f ca="1">IFERROR(__xludf.DUMMYFUNCTION("""COMPUTED_VALUE"""),6)</f>
        <v>6</v>
      </c>
      <c r="C35" s="30" t="str">
        <f ca="1">IFERROR(__xludf.DUMMYFUNCTION("""COMPUTED_VALUE"""),"Programming B - Events and actions in programs")</f>
        <v>Programming B - Events and actions in programs</v>
      </c>
      <c r="D35" s="29">
        <f ca="1">IFERROR(__xludf.DUMMYFUNCTION("""COMPUTED_VALUE"""),3)</f>
        <v>3</v>
      </c>
      <c r="E35" s="30" t="str">
        <f ca="1">IFERROR(__xludf.DUMMYFUNCTION("""COMPUTED_VALUE"""),"-To adapt a program to a new context")</f>
        <v>-To adapt a program to a new context</v>
      </c>
      <c r="F35" s="31" t="str">
        <f ca="1">IFERROR(__xludf.DUMMYFUNCTION("""COMPUTED_VALUE""")," -I can choose blocks to set up my program
- I can consider the real world when making design choices
- I can use a programming extension")</f>
        <v xml:space="preserve"> -I can choose blocks to set up my program
- I can consider the real world when making design choices
- I can use a programming extension</v>
      </c>
      <c r="G35" s="75" t="b">
        <f ca="1">IFERROR(__xludf.DUMMYFUNCTION("""COMPUTED_VALUE"""),TRUE)</f>
        <v>1</v>
      </c>
      <c r="H35" s="33" t="b">
        <f ca="1">IFERROR(__xludf.DUMMYFUNCTION("""COMPUTED_VALUE"""),TRUE)</f>
        <v>1</v>
      </c>
      <c r="I35" s="33" t="b">
        <f ca="1">IFERROR(__xludf.DUMMYFUNCTION("""COMPUTED_VALUE"""),TRUE)</f>
        <v>1</v>
      </c>
      <c r="J35" s="57"/>
      <c r="K35" s="57"/>
      <c r="L35" s="33" t="b">
        <f ca="1">IFERROR(__xludf.DUMMYFUNCTION("""COMPUTED_VALUE"""),TRUE)</f>
        <v>1</v>
      </c>
      <c r="M35" s="58"/>
      <c r="N35" s="56"/>
      <c r="O35" s="57"/>
      <c r="P35" s="57"/>
      <c r="Q35" s="57"/>
      <c r="R35" s="57"/>
      <c r="S35" s="57"/>
      <c r="T35" s="57"/>
      <c r="U35" s="57"/>
      <c r="V35" s="33" t="b">
        <f ca="1">IFERROR(__xludf.DUMMYFUNCTION("""COMPUTED_VALUE"""),TRUE)</f>
        <v>1</v>
      </c>
      <c r="W35" s="58"/>
      <c r="X35" s="72"/>
      <c r="Y35" s="95"/>
      <c r="Z35" s="60">
        <f ca="1">IFERROR(__xludf.DUMMYFUNCTION("ArrayFormula(mod(COUNTUNIQUE($C$3:C35),2))"),0)</f>
        <v>0</v>
      </c>
    </row>
    <row r="36" spans="1:26" ht="84">
      <c r="A36" s="29">
        <f ca="1">IFERROR(__xludf.DUMMYFUNCTION("""COMPUTED_VALUE"""),3)</f>
        <v>3</v>
      </c>
      <c r="B36" s="29">
        <f ca="1">IFERROR(__xludf.DUMMYFUNCTION("""COMPUTED_VALUE"""),6)</f>
        <v>6</v>
      </c>
      <c r="C36" s="30" t="str">
        <f ca="1">IFERROR(__xludf.DUMMYFUNCTION("""COMPUTED_VALUE"""),"Programming B - Events and actions in programs")</f>
        <v>Programming B - Events and actions in programs</v>
      </c>
      <c r="D36" s="29">
        <f ca="1">IFERROR(__xludf.DUMMYFUNCTION("""COMPUTED_VALUE"""),4)</f>
        <v>4</v>
      </c>
      <c r="E36" s="30" t="str">
        <f ca="1">IFERROR(__xludf.DUMMYFUNCTION("""COMPUTED_VALUE"""),"-To develop my program by adding features")</f>
        <v>-To develop my program by adding features</v>
      </c>
      <c r="F36" s="31" t="str">
        <f ca="1">IFERROR(__xludf.DUMMYFUNCTION("""COMPUTED_VALUE""")," -I can build more sequences of commands to make my design work
- I can choose suitable keys to turn on additional features
- I can identify additional features (from a given set of blocks)")</f>
        <v xml:space="preserve"> -I can build more sequences of commands to make my design work
- I can choose suitable keys to turn on additional features
- I can identify additional features (from a given set of blocks)</v>
      </c>
      <c r="G36" s="75" t="b">
        <f ca="1">IFERROR(__xludf.DUMMYFUNCTION("""COMPUTED_VALUE"""),TRUE)</f>
        <v>1</v>
      </c>
      <c r="H36" s="33" t="b">
        <f ca="1">IFERROR(__xludf.DUMMYFUNCTION("""COMPUTED_VALUE"""),TRUE)</f>
        <v>1</v>
      </c>
      <c r="I36" s="33" t="b">
        <f ca="1">IFERROR(__xludf.DUMMYFUNCTION("""COMPUTED_VALUE"""),TRUE)</f>
        <v>1</v>
      </c>
      <c r="J36" s="57"/>
      <c r="K36" s="57"/>
      <c r="L36" s="33" t="b">
        <f ca="1">IFERROR(__xludf.DUMMYFUNCTION("""COMPUTED_VALUE"""),TRUE)</f>
        <v>1</v>
      </c>
      <c r="M36" s="58"/>
      <c r="N36" s="56"/>
      <c r="O36" s="57"/>
      <c r="P36" s="57"/>
      <c r="Q36" s="57"/>
      <c r="R36" s="57"/>
      <c r="S36" s="57"/>
      <c r="T36" s="57"/>
      <c r="U36" s="57"/>
      <c r="V36" s="33" t="b">
        <f ca="1">IFERROR(__xludf.DUMMYFUNCTION("""COMPUTED_VALUE"""),TRUE)</f>
        <v>1</v>
      </c>
      <c r="W36" s="58"/>
      <c r="X36" s="72"/>
      <c r="Y36" s="95"/>
      <c r="Z36" s="60">
        <f ca="1">IFERROR(__xludf.DUMMYFUNCTION("ArrayFormula(mod(COUNTUNIQUE($C$3:C36),2))"),0)</f>
        <v>0</v>
      </c>
    </row>
    <row r="37" spans="1:26" ht="42">
      <c r="A37" s="29">
        <f ca="1">IFERROR(__xludf.DUMMYFUNCTION("""COMPUTED_VALUE"""),3)</f>
        <v>3</v>
      </c>
      <c r="B37" s="29">
        <f ca="1">IFERROR(__xludf.DUMMYFUNCTION("""COMPUTED_VALUE"""),6)</f>
        <v>6</v>
      </c>
      <c r="C37" s="30" t="str">
        <f ca="1">IFERROR(__xludf.DUMMYFUNCTION("""COMPUTED_VALUE"""),"Programming B - Events and actions in programs")</f>
        <v>Programming B - Events and actions in programs</v>
      </c>
      <c r="D37" s="29">
        <f ca="1">IFERROR(__xludf.DUMMYFUNCTION("""COMPUTED_VALUE"""),5)</f>
        <v>5</v>
      </c>
      <c r="E37" s="30" t="str">
        <f ca="1">IFERROR(__xludf.DUMMYFUNCTION("""COMPUTED_VALUE"""),"-To identify and fix bugs in a program")</f>
        <v>-To identify and fix bugs in a program</v>
      </c>
      <c r="F37" s="31" t="str">
        <f ca="1">IFERROR(__xludf.DUMMYFUNCTION("""COMPUTED_VALUE""")," -I can match a piece of code to an outcome
- I can modify a program using a design
- I can test a program against a given design")</f>
        <v xml:space="preserve"> -I can match a piece of code to an outcome
- I can modify a program using a design
- I can test a program against a given design</v>
      </c>
      <c r="G37" s="75" t="b">
        <f ca="1">IFERROR(__xludf.DUMMYFUNCTION("""COMPUTED_VALUE"""),TRUE)</f>
        <v>1</v>
      </c>
      <c r="H37" s="33" t="b">
        <f ca="1">IFERROR(__xludf.DUMMYFUNCTION("""COMPUTED_VALUE"""),TRUE)</f>
        <v>1</v>
      </c>
      <c r="I37" s="33" t="b">
        <f ca="1">IFERROR(__xludf.DUMMYFUNCTION("""COMPUTED_VALUE"""),TRUE)</f>
        <v>1</v>
      </c>
      <c r="J37" s="57"/>
      <c r="K37" s="57"/>
      <c r="L37" s="33" t="b">
        <f ca="1">IFERROR(__xludf.DUMMYFUNCTION("""COMPUTED_VALUE"""),TRUE)</f>
        <v>1</v>
      </c>
      <c r="M37" s="58"/>
      <c r="N37" s="56"/>
      <c r="O37" s="57"/>
      <c r="P37" s="57"/>
      <c r="Q37" s="33" t="b">
        <f ca="1">IFERROR(__xludf.DUMMYFUNCTION("""COMPUTED_VALUE"""),TRUE)</f>
        <v>1</v>
      </c>
      <c r="R37" s="57"/>
      <c r="S37" s="57"/>
      <c r="T37" s="57"/>
      <c r="U37" s="57"/>
      <c r="V37" s="33" t="b">
        <f ca="1">IFERROR(__xludf.DUMMYFUNCTION("""COMPUTED_VALUE"""),TRUE)</f>
        <v>1</v>
      </c>
      <c r="W37" s="58"/>
      <c r="X37" s="72"/>
      <c r="Y37" s="95"/>
      <c r="Z37" s="60">
        <f ca="1">IFERROR(__xludf.DUMMYFUNCTION("ArrayFormula(mod(COUNTUNIQUE($C$3:C37),2))"),0)</f>
        <v>0</v>
      </c>
    </row>
    <row r="38" spans="1:26" ht="42">
      <c r="A38" s="38">
        <f ca="1">IFERROR(__xludf.DUMMYFUNCTION("""COMPUTED_VALUE"""),3)</f>
        <v>3</v>
      </c>
      <c r="B38" s="38">
        <f ca="1">IFERROR(__xludf.DUMMYFUNCTION("""COMPUTED_VALUE"""),6)</f>
        <v>6</v>
      </c>
      <c r="C38" s="39" t="str">
        <f ca="1">IFERROR(__xludf.DUMMYFUNCTION("""COMPUTED_VALUE"""),"Programming B - Events and actions in programs")</f>
        <v>Programming B - Events and actions in programs</v>
      </c>
      <c r="D38" s="38">
        <f ca="1">IFERROR(__xludf.DUMMYFUNCTION("""COMPUTED_VALUE"""),6)</f>
        <v>6</v>
      </c>
      <c r="E38" s="39" t="str">
        <f ca="1">IFERROR(__xludf.DUMMYFUNCTION("""COMPUTED_VALUE"""),"-To design and create a maze-based challenge")</f>
        <v>-To design and create a maze-based challenge</v>
      </c>
      <c r="F38" s="40" t="str">
        <f ca="1">IFERROR(__xludf.DUMMYFUNCTION("""COMPUTED_VALUE""")," -I can evaluate my project
- I can implement my design
- I can make design choices and justify them")</f>
        <v xml:space="preserve"> -I can evaluate my project
- I can implement my design
- I can make design choices and justify them</v>
      </c>
      <c r="G38" s="76" t="b">
        <f ca="1">IFERROR(__xludf.DUMMYFUNCTION("""COMPUTED_VALUE"""),TRUE)</f>
        <v>1</v>
      </c>
      <c r="H38" s="42" t="b">
        <f ca="1">IFERROR(__xludf.DUMMYFUNCTION("""COMPUTED_VALUE"""),TRUE)</f>
        <v>1</v>
      </c>
      <c r="I38" s="42" t="b">
        <f ca="1">IFERROR(__xludf.DUMMYFUNCTION("""COMPUTED_VALUE"""),TRUE)</f>
        <v>1</v>
      </c>
      <c r="J38" s="62"/>
      <c r="K38" s="62"/>
      <c r="L38" s="42" t="b">
        <f ca="1">IFERROR(__xludf.DUMMYFUNCTION("""COMPUTED_VALUE"""),TRUE)</f>
        <v>1</v>
      </c>
      <c r="M38" s="63"/>
      <c r="N38" s="61"/>
      <c r="O38" s="62"/>
      <c r="P38" s="62"/>
      <c r="Q38" s="42" t="b">
        <f ca="1">IFERROR(__xludf.DUMMYFUNCTION("""COMPUTED_VALUE"""),TRUE)</f>
        <v>1</v>
      </c>
      <c r="R38" s="62"/>
      <c r="S38" s="62"/>
      <c r="T38" s="62"/>
      <c r="U38" s="62"/>
      <c r="V38" s="42" t="b">
        <f ca="1">IFERROR(__xludf.DUMMYFUNCTION("""COMPUTED_VALUE"""),TRUE)</f>
        <v>1</v>
      </c>
      <c r="W38" s="63"/>
      <c r="X38" s="73"/>
      <c r="Y38" s="96"/>
      <c r="Z38" s="65">
        <f ca="1">IFERROR(__xludf.DUMMYFUNCTION("ArrayFormula(mod(COUNTUNIQUE($C$3:C38),2))"),0)</f>
        <v>0</v>
      </c>
    </row>
    <row r="39" spans="1:26" ht="56">
      <c r="A39" s="47">
        <f ca="1">IFERROR(__xludf.DUMMYFUNCTION("""COMPUTED_VALUE"""),4)</f>
        <v>4</v>
      </c>
      <c r="B39" s="47">
        <f ca="1">IFERROR(__xludf.DUMMYFUNCTION("""COMPUTED_VALUE"""),1)</f>
        <v>1</v>
      </c>
      <c r="C39" s="48" t="str">
        <f ca="1">IFERROR(__xludf.DUMMYFUNCTION("""COMPUTED_VALUE"""),"Computing systems and networks – The Internet")</f>
        <v>Computing systems and networks – The Internet</v>
      </c>
      <c r="D39" s="47">
        <f ca="1">IFERROR(__xludf.DUMMYFUNCTION("""COMPUTED_VALUE"""),1)</f>
        <v>1</v>
      </c>
      <c r="E39" s="48" t="str">
        <f ca="1">IFERROR(__xludf.DUMMYFUNCTION("""COMPUTED_VALUE"""),"-To describe how networks physically connect to other networks")</f>
        <v>-To describe how networks physically connect to other networks</v>
      </c>
      <c r="F39" s="49" t="str">
        <f ca="1">IFERROR(__xludf.DUMMYFUNCTION("""COMPUTED_VALUE""")," -I can demonstrate how information is shared across the internet
- I can describe the internet as a network of networks
- I can discuss why a network needs protecting")</f>
        <v xml:space="preserve"> -I can demonstrate how information is shared across the internet
- I can describe the internet as a network of networks
- I can discuss why a network needs protecting</v>
      </c>
      <c r="G39" s="66"/>
      <c r="H39" s="67"/>
      <c r="I39" s="67"/>
      <c r="J39" s="67" t="b">
        <f ca="1">IFERROR(__xludf.DUMMYFUNCTION("""COMPUTED_VALUE"""),TRUE)</f>
        <v>1</v>
      </c>
      <c r="K39" s="67" t="b">
        <f ca="1">IFERROR(__xludf.DUMMYFUNCTION("""COMPUTED_VALUE"""),TRUE)</f>
        <v>1</v>
      </c>
      <c r="L39" s="67" t="b">
        <f ca="1">IFERROR(__xludf.DUMMYFUNCTION("""COMPUTED_VALUE"""),TRUE)</f>
        <v>1</v>
      </c>
      <c r="M39" s="68" t="b">
        <f ca="1">IFERROR(__xludf.DUMMYFUNCTION("""COMPUTED_VALUE"""),TRUE)</f>
        <v>1</v>
      </c>
      <c r="N39" s="66"/>
      <c r="O39" s="67"/>
      <c r="P39" s="67"/>
      <c r="Q39" s="67"/>
      <c r="R39" s="67"/>
      <c r="S39" s="67"/>
      <c r="T39" s="67"/>
      <c r="U39" s="67" t="b">
        <f ca="1">IFERROR(__xludf.DUMMYFUNCTION("""COMPUTED_VALUE"""),TRUE)</f>
        <v>1</v>
      </c>
      <c r="V39" s="67"/>
      <c r="W39" s="68" t="b">
        <f ca="1">IFERROR(__xludf.DUMMYFUNCTION("""COMPUTED_VALUE"""),TRUE)</f>
        <v>1</v>
      </c>
      <c r="X39" s="69"/>
      <c r="Y39" s="93"/>
      <c r="Z39" s="70">
        <f ca="1">IFERROR(__xludf.DUMMYFUNCTION("ArrayFormula(mod(COUNTUNIQUE($C$3:C39),2))"),1)</f>
        <v>1</v>
      </c>
    </row>
    <row r="40" spans="1:26" ht="84">
      <c r="A40" s="29">
        <f ca="1">IFERROR(__xludf.DUMMYFUNCTION("""COMPUTED_VALUE"""),4)</f>
        <v>4</v>
      </c>
      <c r="B40" s="29">
        <f ca="1">IFERROR(__xludf.DUMMYFUNCTION("""COMPUTED_VALUE"""),1)</f>
        <v>1</v>
      </c>
      <c r="C40" s="30" t="str">
        <f ca="1">IFERROR(__xludf.DUMMYFUNCTION("""COMPUTED_VALUE"""),"Computing systems and networks – The Internet")</f>
        <v>Computing systems and networks – The Internet</v>
      </c>
      <c r="D40" s="29">
        <f ca="1">IFERROR(__xludf.DUMMYFUNCTION("""COMPUTED_VALUE"""),2)</f>
        <v>2</v>
      </c>
      <c r="E40" s="30" t="str">
        <f ca="1">IFERROR(__xludf.DUMMYFUNCTION("""COMPUTED_VALUE"""),"-To recognise how networked devices make up the internet")</f>
        <v>-To recognise how networked devices make up the internet</v>
      </c>
      <c r="F40" s="31" t="str">
        <f ca="1">IFERROR(__xludf.DUMMYFUNCTION("""COMPUTED_VALUE""")," -I can describe networked devices and how they connect
- I can explain that the internet is used to provide many services
- I can recognise that the World Wide Web contains websites and web pages")</f>
        <v xml:space="preserve"> -I can describe networked devices and how they connect
- I can explain that the internet is used to provide many services
- I can recognise that the World Wide Web contains websites and web pages</v>
      </c>
      <c r="G40" s="32"/>
      <c r="H40" s="34"/>
      <c r="I40" s="34"/>
      <c r="J40" s="34" t="b">
        <f ca="1">IFERROR(__xludf.DUMMYFUNCTION("""COMPUTED_VALUE"""),TRUE)</f>
        <v>1</v>
      </c>
      <c r="K40" s="34" t="b">
        <f ca="1">IFERROR(__xludf.DUMMYFUNCTION("""COMPUTED_VALUE"""),TRUE)</f>
        <v>1</v>
      </c>
      <c r="L40" s="34" t="b">
        <f ca="1">IFERROR(__xludf.DUMMYFUNCTION("""COMPUTED_VALUE"""),TRUE)</f>
        <v>1</v>
      </c>
      <c r="M40" s="35" t="b">
        <f ca="1">IFERROR(__xludf.DUMMYFUNCTION("""COMPUTED_VALUE"""),TRUE)</f>
        <v>1</v>
      </c>
      <c r="N40" s="32"/>
      <c r="O40" s="34"/>
      <c r="P40" s="34"/>
      <c r="Q40" s="34"/>
      <c r="R40" s="34"/>
      <c r="S40" s="34"/>
      <c r="T40" s="34"/>
      <c r="U40" s="34" t="b">
        <f ca="1">IFERROR(__xludf.DUMMYFUNCTION("""COMPUTED_VALUE"""),TRUE)</f>
        <v>1</v>
      </c>
      <c r="V40" s="34"/>
      <c r="W40" s="35"/>
      <c r="X40" s="36"/>
      <c r="Y40" s="88"/>
      <c r="Z40" s="37">
        <f ca="1">IFERROR(__xludf.DUMMYFUNCTION("ArrayFormula(mod(COUNTUNIQUE($C$3:C40),2))"),1)</f>
        <v>1</v>
      </c>
    </row>
    <row r="41" spans="1:26" ht="70">
      <c r="A41" s="29">
        <f ca="1">IFERROR(__xludf.DUMMYFUNCTION("""COMPUTED_VALUE"""),4)</f>
        <v>4</v>
      </c>
      <c r="B41" s="29">
        <f ca="1">IFERROR(__xludf.DUMMYFUNCTION("""COMPUTED_VALUE"""),1)</f>
        <v>1</v>
      </c>
      <c r="C41" s="30" t="str">
        <f ca="1">IFERROR(__xludf.DUMMYFUNCTION("""COMPUTED_VALUE"""),"Computing systems and networks – The Internet")</f>
        <v>Computing systems and networks – The Internet</v>
      </c>
      <c r="D41" s="29">
        <f ca="1">IFERROR(__xludf.DUMMYFUNCTION("""COMPUTED_VALUE"""),3)</f>
        <v>3</v>
      </c>
      <c r="E41" s="30" t="str">
        <f ca="1">IFERROR(__xludf.DUMMYFUNCTION("""COMPUTED_VALUE"""),"-To outline how websites can be shared via the World Wide Web (WWW)")</f>
        <v>-To outline how websites can be shared via the World Wide Web (WWW)</v>
      </c>
      <c r="F41" s="31" t="str">
        <f ca="1">IFERROR(__xludf.DUMMYFUNCTION("""COMPUTED_VALUE""")," -I can describe how to access websites on the WWW
- I can describe where websites are stored when uploaded to the WWW
- I can explain the types of media that can be shared on the WWW")</f>
        <v xml:space="preserve"> -I can describe how to access websites on the WWW
- I can describe where websites are stored when uploaded to the WWW
- I can explain the types of media that can be shared on the WWW</v>
      </c>
      <c r="G41" s="32"/>
      <c r="H41" s="34"/>
      <c r="I41" s="34"/>
      <c r="J41" s="34" t="b">
        <f ca="1">IFERROR(__xludf.DUMMYFUNCTION("""COMPUTED_VALUE"""),TRUE)</f>
        <v>1</v>
      </c>
      <c r="K41" s="34" t="b">
        <f ca="1">IFERROR(__xludf.DUMMYFUNCTION("""COMPUTED_VALUE"""),TRUE)</f>
        <v>1</v>
      </c>
      <c r="L41" s="34" t="b">
        <f ca="1">IFERROR(__xludf.DUMMYFUNCTION("""COMPUTED_VALUE"""),TRUE)</f>
        <v>1</v>
      </c>
      <c r="M41" s="35" t="b">
        <f ca="1">IFERROR(__xludf.DUMMYFUNCTION("""COMPUTED_VALUE"""),TRUE)</f>
        <v>1</v>
      </c>
      <c r="N41" s="32"/>
      <c r="O41" s="34"/>
      <c r="P41" s="34"/>
      <c r="Q41" s="34"/>
      <c r="R41" s="34"/>
      <c r="S41" s="34"/>
      <c r="T41" s="34"/>
      <c r="U41" s="34" t="b">
        <f ca="1">IFERROR(__xludf.DUMMYFUNCTION("""COMPUTED_VALUE"""),TRUE)</f>
        <v>1</v>
      </c>
      <c r="V41" s="34"/>
      <c r="W41" s="35"/>
      <c r="X41" s="36"/>
      <c r="Y41" s="88"/>
      <c r="Z41" s="37">
        <f ca="1">IFERROR(__xludf.DUMMYFUNCTION("ArrayFormula(mod(COUNTUNIQUE($C$3:C41),2))"),1)</f>
        <v>1</v>
      </c>
    </row>
    <row r="42" spans="1:26" ht="56">
      <c r="A42" s="29">
        <f ca="1">IFERROR(__xludf.DUMMYFUNCTION("""COMPUTED_VALUE"""),4)</f>
        <v>4</v>
      </c>
      <c r="B42" s="29">
        <f ca="1">IFERROR(__xludf.DUMMYFUNCTION("""COMPUTED_VALUE"""),1)</f>
        <v>1</v>
      </c>
      <c r="C42" s="30" t="str">
        <f ca="1">IFERROR(__xludf.DUMMYFUNCTION("""COMPUTED_VALUE"""),"Computing systems and networks – The Internet")</f>
        <v>Computing systems and networks – The Internet</v>
      </c>
      <c r="D42" s="29">
        <f ca="1">IFERROR(__xludf.DUMMYFUNCTION("""COMPUTED_VALUE"""),4)</f>
        <v>4</v>
      </c>
      <c r="E42" s="30" t="str">
        <f ca="1">IFERROR(__xludf.DUMMYFUNCTION("""COMPUTED_VALUE"""),"-To describe how content can be added and accessed on the World Wide Web (WWW)")</f>
        <v>-To describe how content can be added and accessed on the World Wide Web (WWW)</v>
      </c>
      <c r="F42" s="31" t="str">
        <f ca="1">IFERROR(__xludf.DUMMYFUNCTION("""COMPUTED_VALUE""")," -I can explain that internet services can be used to create content online
- I can explain what media can be found on websites
- I can recognise that I can add content to the WWW")</f>
        <v xml:space="preserve"> -I can explain that internet services can be used to create content online
- I can explain what media can be found on websites
- I can recognise that I can add content to the WWW</v>
      </c>
      <c r="G42" s="32"/>
      <c r="H42" s="34"/>
      <c r="I42" s="34"/>
      <c r="J42" s="34" t="b">
        <f ca="1">IFERROR(__xludf.DUMMYFUNCTION("""COMPUTED_VALUE"""),TRUE)</f>
        <v>1</v>
      </c>
      <c r="K42" s="34" t="b">
        <f ca="1">IFERROR(__xludf.DUMMYFUNCTION("""COMPUTED_VALUE"""),TRUE)</f>
        <v>1</v>
      </c>
      <c r="L42" s="34" t="b">
        <f ca="1">IFERROR(__xludf.DUMMYFUNCTION("""COMPUTED_VALUE"""),TRUE)</f>
        <v>1</v>
      </c>
      <c r="M42" s="35" t="b">
        <f ca="1">IFERROR(__xludf.DUMMYFUNCTION("""COMPUTED_VALUE"""),TRUE)</f>
        <v>1</v>
      </c>
      <c r="N42" s="32"/>
      <c r="O42" s="34" t="b">
        <f ca="1">IFERROR(__xludf.DUMMYFUNCTION("""COMPUTED_VALUE"""),TRUE)</f>
        <v>1</v>
      </c>
      <c r="P42" s="34"/>
      <c r="Q42" s="34"/>
      <c r="R42" s="34"/>
      <c r="S42" s="34"/>
      <c r="T42" s="34"/>
      <c r="U42" s="34" t="b">
        <f ca="1">IFERROR(__xludf.DUMMYFUNCTION("""COMPUTED_VALUE"""),TRUE)</f>
        <v>1</v>
      </c>
      <c r="V42" s="34"/>
      <c r="W42" s="35"/>
      <c r="X42" s="36"/>
      <c r="Y42" s="88"/>
      <c r="Z42" s="37">
        <f ca="1">IFERROR(__xludf.DUMMYFUNCTION("ArrayFormula(mod(COUNTUNIQUE($C$3:C42),2))"),1)</f>
        <v>1</v>
      </c>
    </row>
    <row r="43" spans="1:26" ht="56">
      <c r="A43" s="29">
        <f ca="1">IFERROR(__xludf.DUMMYFUNCTION("""COMPUTED_VALUE"""),4)</f>
        <v>4</v>
      </c>
      <c r="B43" s="29">
        <f ca="1">IFERROR(__xludf.DUMMYFUNCTION("""COMPUTED_VALUE"""),1)</f>
        <v>1</v>
      </c>
      <c r="C43" s="30" t="str">
        <f ca="1">IFERROR(__xludf.DUMMYFUNCTION("""COMPUTED_VALUE"""),"Computing systems and networks – The Internet")</f>
        <v>Computing systems and networks – The Internet</v>
      </c>
      <c r="D43" s="29">
        <f ca="1">IFERROR(__xludf.DUMMYFUNCTION("""COMPUTED_VALUE"""),5)</f>
        <v>5</v>
      </c>
      <c r="E43" s="30" t="str">
        <f ca="1">IFERROR(__xludf.DUMMYFUNCTION("""COMPUTED_VALUE"""),"-To recognise how the content of the WWW is created by people")</f>
        <v>-To recognise how the content of the WWW is created by people</v>
      </c>
      <c r="F43" s="31" t="str">
        <f ca="1">IFERROR(__xludf.DUMMYFUNCTION("""COMPUTED_VALUE""")," -I can explain that there are rules to protect content
- I can explain that websites and their content are created by people 
- I can suggest who owns the content on websites ")</f>
        <v xml:space="preserve"> -I can explain that there are rules to protect content
- I can explain that websites and their content are created by people 
- I can suggest who owns the content on websites </v>
      </c>
      <c r="G43" s="32"/>
      <c r="H43" s="34"/>
      <c r="I43" s="34"/>
      <c r="J43" s="34" t="b">
        <f ca="1">IFERROR(__xludf.DUMMYFUNCTION("""COMPUTED_VALUE"""),TRUE)</f>
        <v>1</v>
      </c>
      <c r="K43" s="34" t="b">
        <f ca="1">IFERROR(__xludf.DUMMYFUNCTION("""COMPUTED_VALUE"""),TRUE)</f>
        <v>1</v>
      </c>
      <c r="L43" s="34" t="b">
        <f ca="1">IFERROR(__xludf.DUMMYFUNCTION("""COMPUTED_VALUE"""),TRUE)</f>
        <v>1</v>
      </c>
      <c r="M43" s="35" t="b">
        <f ca="1">IFERROR(__xludf.DUMMYFUNCTION("""COMPUTED_VALUE"""),TRUE)</f>
        <v>1</v>
      </c>
      <c r="N43" s="32"/>
      <c r="O43" s="34"/>
      <c r="P43" s="34"/>
      <c r="Q43" s="34"/>
      <c r="R43" s="34"/>
      <c r="S43" s="34"/>
      <c r="T43" s="34"/>
      <c r="U43" s="34" t="b">
        <f ca="1">IFERROR(__xludf.DUMMYFUNCTION("""COMPUTED_VALUE"""),TRUE)</f>
        <v>1</v>
      </c>
      <c r="V43" s="34"/>
      <c r="W43" s="35"/>
      <c r="X43" s="36"/>
      <c r="Y43" s="88"/>
      <c r="Z43" s="37">
        <f ca="1">IFERROR(__xludf.DUMMYFUNCTION("ArrayFormula(mod(COUNTUNIQUE($C$3:C43),2))"),1)</f>
        <v>1</v>
      </c>
    </row>
    <row r="44" spans="1:26" ht="84">
      <c r="A44" s="38">
        <f ca="1">IFERROR(__xludf.DUMMYFUNCTION("""COMPUTED_VALUE"""),4)</f>
        <v>4</v>
      </c>
      <c r="B44" s="38">
        <f ca="1">IFERROR(__xludf.DUMMYFUNCTION("""COMPUTED_VALUE"""),1)</f>
        <v>1</v>
      </c>
      <c r="C44" s="39" t="str">
        <f ca="1">IFERROR(__xludf.DUMMYFUNCTION("""COMPUTED_VALUE"""),"Computing systems and networks – The Internet")</f>
        <v>Computing systems and networks – The Internet</v>
      </c>
      <c r="D44" s="38">
        <f ca="1">IFERROR(__xludf.DUMMYFUNCTION("""COMPUTED_VALUE"""),6)</f>
        <v>6</v>
      </c>
      <c r="E44" s="39" t="str">
        <f ca="1">IFERROR(__xludf.DUMMYFUNCTION("""COMPUTED_VALUE"""),"-To evaluate the consequences of unreliable content")</f>
        <v>-To evaluate the consequences of unreliable content</v>
      </c>
      <c r="F44" s="40" t="str">
        <f ca="1">IFERROR(__xludf.DUMMYFUNCTION("""COMPUTED_VALUE""")," -I can explain that not everything on the World Wide Web is true
- I can explain why I need to think carefully before I share or reshare content
- I can explain why some information I find online may not be honest, accurate, or legal")</f>
        <v xml:space="preserve"> -I can explain that not everything on the World Wide Web is true
- I can explain why I need to think carefully before I share or reshare content
- I can explain why some information I find online may not be honest, accurate, or legal</v>
      </c>
      <c r="G44" s="41"/>
      <c r="H44" s="43"/>
      <c r="I44" s="43"/>
      <c r="J44" s="43" t="b">
        <f ca="1">IFERROR(__xludf.DUMMYFUNCTION("""COMPUTED_VALUE"""),TRUE)</f>
        <v>1</v>
      </c>
      <c r="K44" s="43" t="b">
        <f ca="1">IFERROR(__xludf.DUMMYFUNCTION("""COMPUTED_VALUE"""),TRUE)</f>
        <v>1</v>
      </c>
      <c r="L44" s="43" t="b">
        <f ca="1">IFERROR(__xludf.DUMMYFUNCTION("""COMPUTED_VALUE"""),TRUE)</f>
        <v>1</v>
      </c>
      <c r="M44" s="44" t="b">
        <f ca="1">IFERROR(__xludf.DUMMYFUNCTION("""COMPUTED_VALUE"""),TRUE)</f>
        <v>1</v>
      </c>
      <c r="N44" s="41"/>
      <c r="O44" s="43"/>
      <c r="P44" s="43"/>
      <c r="Q44" s="43"/>
      <c r="R44" s="43"/>
      <c r="S44" s="43"/>
      <c r="T44" s="43" t="b">
        <f ca="1">IFERROR(__xludf.DUMMYFUNCTION("""COMPUTED_VALUE"""),TRUE)</f>
        <v>1</v>
      </c>
      <c r="U44" s="43" t="b">
        <f ca="1">IFERROR(__xludf.DUMMYFUNCTION("""COMPUTED_VALUE"""),TRUE)</f>
        <v>1</v>
      </c>
      <c r="V44" s="43"/>
      <c r="W44" s="44" t="b">
        <f ca="1">IFERROR(__xludf.DUMMYFUNCTION("""COMPUTED_VALUE"""),TRUE)</f>
        <v>1</v>
      </c>
      <c r="X44" s="45"/>
      <c r="Y44" s="89"/>
      <c r="Z44" s="46">
        <f ca="1">IFERROR(__xludf.DUMMYFUNCTION("ArrayFormula(mod(COUNTUNIQUE($C$3:C44),2))"),1)</f>
        <v>1</v>
      </c>
    </row>
    <row r="45" spans="1:26" ht="70">
      <c r="A45" s="47">
        <f ca="1">IFERROR(__xludf.DUMMYFUNCTION("""COMPUTED_VALUE"""),4)</f>
        <v>4</v>
      </c>
      <c r="B45" s="47">
        <f ca="1">IFERROR(__xludf.DUMMYFUNCTION("""COMPUTED_VALUE"""),2)</f>
        <v>2</v>
      </c>
      <c r="C45" s="48" t="str">
        <f ca="1">IFERROR(__xludf.DUMMYFUNCTION("""COMPUTED_VALUE"""),"Creating media - Audio production")</f>
        <v>Creating media - Audio production</v>
      </c>
      <c r="D45" s="47">
        <f ca="1">IFERROR(__xludf.DUMMYFUNCTION("""COMPUTED_VALUE"""),1)</f>
        <v>1</v>
      </c>
      <c r="E45" s="48" t="str">
        <f ca="1">IFERROR(__xludf.DUMMYFUNCTION("""COMPUTED_VALUE"""),"-To identify that sound can be recorded")</f>
        <v>-To identify that sound can be recorded</v>
      </c>
      <c r="F45" s="49" t="str">
        <f ca="1">IFERROR(__xludf.DUMMYFUNCTION("""COMPUTED_VALUE""")," -I can explain that the person who records the sound can say who is allowed to use it
- I can identify the input and output devices used to record and play sound
- I can use a computer to record audio")</f>
        <v xml:space="preserve"> -I can explain that the person who records the sound can say who is allowed to use it
- I can identify the input and output devices used to record and play sound
- I can use a computer to record audio</v>
      </c>
      <c r="G45" s="50"/>
      <c r="H45" s="51"/>
      <c r="I45" s="51"/>
      <c r="J45" s="51"/>
      <c r="K45" s="52" t="b">
        <f ca="1">IFERROR(__xludf.DUMMYFUNCTION("""COMPUTED_VALUE"""),TRUE)</f>
        <v>1</v>
      </c>
      <c r="L45" s="52" t="b">
        <f ca="1">IFERROR(__xludf.DUMMYFUNCTION("""COMPUTED_VALUE"""),TRUE)</f>
        <v>1</v>
      </c>
      <c r="M45" s="77" t="b">
        <f ca="1">IFERROR(__xludf.DUMMYFUNCTION("""COMPUTED_VALUE"""),TRUE)</f>
        <v>1</v>
      </c>
      <c r="N45" s="50"/>
      <c r="O45" s="51"/>
      <c r="P45" s="52" t="b">
        <f ca="1">IFERROR(__xludf.DUMMYFUNCTION("""COMPUTED_VALUE"""),TRUE)</f>
        <v>1</v>
      </c>
      <c r="Q45" s="51"/>
      <c r="R45" s="52" t="b">
        <f ca="1">IFERROR(__xludf.DUMMYFUNCTION("""COMPUTED_VALUE"""),TRUE)</f>
        <v>1</v>
      </c>
      <c r="S45" s="51"/>
      <c r="T45" s="51"/>
      <c r="U45" s="51"/>
      <c r="V45" s="51"/>
      <c r="W45" s="53"/>
      <c r="X45" s="54"/>
      <c r="Y45" s="90" t="s">
        <v>55</v>
      </c>
      <c r="Z45" s="55">
        <f ca="1">IFERROR(__xludf.DUMMYFUNCTION("ArrayFormula(mod(COUNTUNIQUE($C$3:C45),2))"),0)</f>
        <v>0</v>
      </c>
    </row>
    <row r="46" spans="1:26" ht="70">
      <c r="A46" s="29">
        <f ca="1">IFERROR(__xludf.DUMMYFUNCTION("""COMPUTED_VALUE"""),4)</f>
        <v>4</v>
      </c>
      <c r="B46" s="29">
        <f ca="1">IFERROR(__xludf.DUMMYFUNCTION("""COMPUTED_VALUE"""),2)</f>
        <v>2</v>
      </c>
      <c r="C46" s="30" t="str">
        <f ca="1">IFERROR(__xludf.DUMMYFUNCTION("""COMPUTED_VALUE"""),"Creating media - Audio production")</f>
        <v>Creating media - Audio production</v>
      </c>
      <c r="D46" s="29">
        <f ca="1">IFERROR(__xludf.DUMMYFUNCTION("""COMPUTED_VALUE"""),2)</f>
        <v>2</v>
      </c>
      <c r="E46" s="30" t="str">
        <f ca="1">IFERROR(__xludf.DUMMYFUNCTION("""COMPUTED_VALUE"""),"-To explain that audio recordings can be edited")</f>
        <v>-To explain that audio recordings can be edited</v>
      </c>
      <c r="F46" s="31" t="str">
        <f ca="1">IFERROR(__xludf.DUMMYFUNCTION("""COMPUTED_VALUE""")," -I can discuss what sounds can be added to a podcast 
- I can inspect the soundwave view to know where to trim my recording
- I can re-record my voice to improve my recording")</f>
        <v xml:space="preserve"> -I can discuss what sounds can be added to a podcast 
- I can inspect the soundwave view to know where to trim my recording
- I can re-record my voice to improve my recording</v>
      </c>
      <c r="G46" s="56"/>
      <c r="H46" s="57"/>
      <c r="I46" s="57"/>
      <c r="J46" s="57"/>
      <c r="K46" s="33" t="b">
        <f ca="1">IFERROR(__xludf.DUMMYFUNCTION("""COMPUTED_VALUE"""),TRUE)</f>
        <v>1</v>
      </c>
      <c r="L46" s="33" t="b">
        <f ca="1">IFERROR(__xludf.DUMMYFUNCTION("""COMPUTED_VALUE"""),TRUE)</f>
        <v>1</v>
      </c>
      <c r="M46" s="78" t="b">
        <f ca="1">IFERROR(__xludf.DUMMYFUNCTION("""COMPUTED_VALUE"""),TRUE)</f>
        <v>1</v>
      </c>
      <c r="N46" s="56"/>
      <c r="O46" s="33" t="b">
        <f ca="1">IFERROR(__xludf.DUMMYFUNCTION("""COMPUTED_VALUE"""),TRUE)</f>
        <v>1</v>
      </c>
      <c r="P46" s="33" t="b">
        <f ca="1">IFERROR(__xludf.DUMMYFUNCTION("""COMPUTED_VALUE"""),TRUE)</f>
        <v>1</v>
      </c>
      <c r="Q46" s="33" t="b">
        <f ca="1">IFERROR(__xludf.DUMMYFUNCTION("""COMPUTED_VALUE"""),TRUE)</f>
        <v>1</v>
      </c>
      <c r="R46" s="57"/>
      <c r="S46" s="33" t="b">
        <f ca="1">IFERROR(__xludf.DUMMYFUNCTION("""COMPUTED_VALUE"""),TRUE)</f>
        <v>1</v>
      </c>
      <c r="T46" s="57"/>
      <c r="U46" s="57"/>
      <c r="V46" s="57"/>
      <c r="W46" s="58"/>
      <c r="X46" s="59"/>
      <c r="Y46" s="91" t="s">
        <v>55</v>
      </c>
      <c r="Z46" s="60">
        <f ca="1">IFERROR(__xludf.DUMMYFUNCTION("ArrayFormula(mod(COUNTUNIQUE($C$3:C46),2))"),0)</f>
        <v>0</v>
      </c>
    </row>
    <row r="47" spans="1:26" ht="70">
      <c r="A47" s="29">
        <f ca="1">IFERROR(__xludf.DUMMYFUNCTION("""COMPUTED_VALUE"""),4)</f>
        <v>4</v>
      </c>
      <c r="B47" s="29">
        <f ca="1">IFERROR(__xludf.DUMMYFUNCTION("""COMPUTED_VALUE"""),2)</f>
        <v>2</v>
      </c>
      <c r="C47" s="30" t="str">
        <f ca="1">IFERROR(__xludf.DUMMYFUNCTION("""COMPUTED_VALUE"""),"Creating media - Audio production")</f>
        <v>Creating media - Audio production</v>
      </c>
      <c r="D47" s="29">
        <f ca="1">IFERROR(__xludf.DUMMYFUNCTION("""COMPUTED_VALUE"""),3)</f>
        <v>3</v>
      </c>
      <c r="E47" s="30" t="str">
        <f ca="1">IFERROR(__xludf.DUMMYFUNCTION("""COMPUTED_VALUE"""),"-To recognise the different parts of creating a podcast project")</f>
        <v>-To recognise the different parts of creating a podcast project</v>
      </c>
      <c r="F47" s="31" t="str">
        <f ca="1">IFERROR(__xludf.DUMMYFUNCTION("""COMPUTED_VALUE""")," -I can explain how sounds can be combined to make a podcast more engaging
- I can plan appropriate content for a podcast
- I can save my project so the different parts remain editable")</f>
        <v xml:space="preserve"> -I can explain how sounds can be combined to make a podcast more engaging
- I can plan appropriate content for a podcast
- I can save my project so the different parts remain editable</v>
      </c>
      <c r="G47" s="56"/>
      <c r="H47" s="57"/>
      <c r="I47" s="57"/>
      <c r="J47" s="57"/>
      <c r="K47" s="33" t="b">
        <f ca="1">IFERROR(__xludf.DUMMYFUNCTION("""COMPUTED_VALUE"""),TRUE)</f>
        <v>1</v>
      </c>
      <c r="L47" s="33" t="b">
        <f ca="1">IFERROR(__xludf.DUMMYFUNCTION("""COMPUTED_VALUE"""),TRUE)</f>
        <v>1</v>
      </c>
      <c r="M47" s="78" t="b">
        <f ca="1">IFERROR(__xludf.DUMMYFUNCTION("""COMPUTED_VALUE"""),TRUE)</f>
        <v>1</v>
      </c>
      <c r="N47" s="56"/>
      <c r="O47" s="33" t="b">
        <f ca="1">IFERROR(__xludf.DUMMYFUNCTION("""COMPUTED_VALUE"""),TRUE)</f>
        <v>1</v>
      </c>
      <c r="P47" s="57"/>
      <c r="Q47" s="33" t="b">
        <f ca="1">IFERROR(__xludf.DUMMYFUNCTION("""COMPUTED_VALUE"""),TRUE)</f>
        <v>1</v>
      </c>
      <c r="R47" s="33" t="b">
        <f ca="1">IFERROR(__xludf.DUMMYFUNCTION("""COMPUTED_VALUE"""),TRUE)</f>
        <v>1</v>
      </c>
      <c r="S47" s="33" t="b">
        <f ca="1">IFERROR(__xludf.DUMMYFUNCTION("""COMPUTED_VALUE"""),TRUE)</f>
        <v>1</v>
      </c>
      <c r="T47" s="57"/>
      <c r="U47" s="57"/>
      <c r="V47" s="57"/>
      <c r="W47" s="58"/>
      <c r="X47" s="59"/>
      <c r="Y47" s="91" t="s">
        <v>55</v>
      </c>
      <c r="Z47" s="60">
        <f ca="1">IFERROR(__xludf.DUMMYFUNCTION("ArrayFormula(mod(COUNTUNIQUE($C$3:C47),2))"),0)</f>
        <v>0</v>
      </c>
    </row>
    <row r="48" spans="1:26" ht="42">
      <c r="A48" s="29">
        <f ca="1">IFERROR(__xludf.DUMMYFUNCTION("""COMPUTED_VALUE"""),4)</f>
        <v>4</v>
      </c>
      <c r="B48" s="29">
        <f ca="1">IFERROR(__xludf.DUMMYFUNCTION("""COMPUTED_VALUE"""),2)</f>
        <v>2</v>
      </c>
      <c r="C48" s="30" t="str">
        <f ca="1">IFERROR(__xludf.DUMMYFUNCTION("""COMPUTED_VALUE"""),"Creating media - Audio production")</f>
        <v>Creating media - Audio production</v>
      </c>
      <c r="D48" s="29">
        <f ca="1">IFERROR(__xludf.DUMMYFUNCTION("""COMPUTED_VALUE"""),4)</f>
        <v>4</v>
      </c>
      <c r="E48" s="30" t="str">
        <f ca="1">IFERROR(__xludf.DUMMYFUNCTION("""COMPUTED_VALUE"""),"-To apply audio editing skills independently")</f>
        <v>-To apply audio editing skills independently</v>
      </c>
      <c r="F48" s="31" t="str">
        <f ca="1">IFERROR(__xludf.DUMMYFUNCTION("""COMPUTED_VALUE""")," -I can improve my voice recordings
- I can record content following my plan
- I can review the quality of my recordings")</f>
        <v xml:space="preserve"> -I can improve my voice recordings
- I can record content following my plan
- I can review the quality of my recordings</v>
      </c>
      <c r="G48" s="56"/>
      <c r="H48" s="57"/>
      <c r="I48" s="57"/>
      <c r="J48" s="57"/>
      <c r="K48" s="33" t="b">
        <f ca="1">IFERROR(__xludf.DUMMYFUNCTION("""COMPUTED_VALUE"""),TRUE)</f>
        <v>1</v>
      </c>
      <c r="L48" s="33" t="b">
        <f ca="1">IFERROR(__xludf.DUMMYFUNCTION("""COMPUTED_VALUE"""),TRUE)</f>
        <v>1</v>
      </c>
      <c r="M48" s="78" t="b">
        <f ca="1">IFERROR(__xludf.DUMMYFUNCTION("""COMPUTED_VALUE"""),TRUE)</f>
        <v>1</v>
      </c>
      <c r="N48" s="56"/>
      <c r="O48" s="33" t="b">
        <f ca="1">IFERROR(__xludf.DUMMYFUNCTION("""COMPUTED_VALUE"""),TRUE)</f>
        <v>1</v>
      </c>
      <c r="P48" s="57"/>
      <c r="Q48" s="57"/>
      <c r="R48" s="57"/>
      <c r="S48" s="33" t="b">
        <f ca="1">IFERROR(__xludf.DUMMYFUNCTION("""COMPUTED_VALUE"""),TRUE)</f>
        <v>1</v>
      </c>
      <c r="T48" s="57"/>
      <c r="U48" s="57"/>
      <c r="V48" s="57"/>
      <c r="W48" s="58"/>
      <c r="X48" s="59"/>
      <c r="Y48" s="91" t="s">
        <v>55</v>
      </c>
      <c r="Z48" s="60">
        <f ca="1">IFERROR(__xludf.DUMMYFUNCTION("ArrayFormula(mod(COUNTUNIQUE($C$3:C48),2))"),0)</f>
        <v>0</v>
      </c>
    </row>
    <row r="49" spans="1:26" ht="70">
      <c r="A49" s="29">
        <f ca="1">IFERROR(__xludf.DUMMYFUNCTION("""COMPUTED_VALUE"""),4)</f>
        <v>4</v>
      </c>
      <c r="B49" s="29">
        <f ca="1">IFERROR(__xludf.DUMMYFUNCTION("""COMPUTED_VALUE"""),2)</f>
        <v>2</v>
      </c>
      <c r="C49" s="30" t="str">
        <f ca="1">IFERROR(__xludf.DUMMYFUNCTION("""COMPUTED_VALUE"""),"Creating media - Audio production")</f>
        <v>Creating media - Audio production</v>
      </c>
      <c r="D49" s="29">
        <f ca="1">IFERROR(__xludf.DUMMYFUNCTION("""COMPUTED_VALUE"""),5)</f>
        <v>5</v>
      </c>
      <c r="E49" s="30" t="str">
        <f ca="1">IFERROR(__xludf.DUMMYFUNCTION("""COMPUTED_VALUE"""),"-To combine audio to enhance my podcast project")</f>
        <v>-To combine audio to enhance my podcast project</v>
      </c>
      <c r="F49" s="31" t="str">
        <f ca="1">IFERROR(__xludf.DUMMYFUNCTION("""COMPUTED_VALUE""")," -I can arrange multiple sounds to create the effect I want
- I can explain the difference between saving a project and exporting an audio file
- I can open my project to continue working on it")</f>
        <v xml:space="preserve"> -I can arrange multiple sounds to create the effect I want
- I can explain the difference between saving a project and exporting an audio file
- I can open my project to continue working on it</v>
      </c>
      <c r="G49" s="56"/>
      <c r="H49" s="57"/>
      <c r="I49" s="57"/>
      <c r="J49" s="57"/>
      <c r="K49" s="33" t="b">
        <f ca="1">IFERROR(__xludf.DUMMYFUNCTION("""COMPUTED_VALUE"""),TRUE)</f>
        <v>1</v>
      </c>
      <c r="L49" s="33" t="b">
        <f ca="1">IFERROR(__xludf.DUMMYFUNCTION("""COMPUTED_VALUE"""),TRUE)</f>
        <v>1</v>
      </c>
      <c r="M49" s="78" t="b">
        <f ca="1">IFERROR(__xludf.DUMMYFUNCTION("""COMPUTED_VALUE"""),TRUE)</f>
        <v>1</v>
      </c>
      <c r="N49" s="56"/>
      <c r="O49" s="33" t="b">
        <f ca="1">IFERROR(__xludf.DUMMYFUNCTION("""COMPUTED_VALUE"""),TRUE)</f>
        <v>1</v>
      </c>
      <c r="P49" s="57"/>
      <c r="Q49" s="57"/>
      <c r="R49" s="57"/>
      <c r="S49" s="33" t="b">
        <f ca="1">IFERROR(__xludf.DUMMYFUNCTION("""COMPUTED_VALUE"""),TRUE)</f>
        <v>1</v>
      </c>
      <c r="T49" s="57"/>
      <c r="U49" s="57"/>
      <c r="V49" s="57"/>
      <c r="W49" s="58"/>
      <c r="X49" s="59"/>
      <c r="Y49" s="91" t="s">
        <v>55</v>
      </c>
      <c r="Z49" s="60">
        <f ca="1">IFERROR(__xludf.DUMMYFUNCTION("ArrayFormula(mod(COUNTUNIQUE($C$3:C49),2))"),0)</f>
        <v>0</v>
      </c>
    </row>
    <row r="50" spans="1:26" ht="70">
      <c r="A50" s="38">
        <f ca="1">IFERROR(__xludf.DUMMYFUNCTION("""COMPUTED_VALUE"""),4)</f>
        <v>4</v>
      </c>
      <c r="B50" s="38">
        <f ca="1">IFERROR(__xludf.DUMMYFUNCTION("""COMPUTED_VALUE"""),2)</f>
        <v>2</v>
      </c>
      <c r="C50" s="39" t="str">
        <f ca="1">IFERROR(__xludf.DUMMYFUNCTION("""COMPUTED_VALUE"""),"Creating media - Audio production")</f>
        <v>Creating media - Audio production</v>
      </c>
      <c r="D50" s="38">
        <f ca="1">IFERROR(__xludf.DUMMYFUNCTION("""COMPUTED_VALUE"""),6)</f>
        <v>6</v>
      </c>
      <c r="E50" s="39" t="str">
        <f ca="1">IFERROR(__xludf.DUMMYFUNCTION("""COMPUTED_VALUE"""),"-To evaluate the effective use of audio")</f>
        <v>-To evaluate the effective use of audio</v>
      </c>
      <c r="F50" s="40" t="str">
        <f ca="1">IFERROR(__xludf.DUMMYFUNCTION("""COMPUTED_VALUE""")," -I can choose appropriate edits to improve my podcast
- I can listen to an audio recording to identify its strengths
- I can suggest improvements to an audio recording")</f>
        <v xml:space="preserve"> -I can choose appropriate edits to improve my podcast
- I can listen to an audio recording to identify its strengths
- I can suggest improvements to an audio recording</v>
      </c>
      <c r="G50" s="61"/>
      <c r="H50" s="62"/>
      <c r="I50" s="62"/>
      <c r="J50" s="62"/>
      <c r="K50" s="42" t="b">
        <f ca="1">IFERROR(__xludf.DUMMYFUNCTION("""COMPUTED_VALUE"""),TRUE)</f>
        <v>1</v>
      </c>
      <c r="L50" s="42" t="b">
        <f ca="1">IFERROR(__xludf.DUMMYFUNCTION("""COMPUTED_VALUE"""),TRUE)</f>
        <v>1</v>
      </c>
      <c r="M50" s="79" t="b">
        <f ca="1">IFERROR(__xludf.DUMMYFUNCTION("""COMPUTED_VALUE"""),TRUE)</f>
        <v>1</v>
      </c>
      <c r="N50" s="61"/>
      <c r="O50" s="42" t="b">
        <f ca="1">IFERROR(__xludf.DUMMYFUNCTION("""COMPUTED_VALUE"""),TRUE)</f>
        <v>1</v>
      </c>
      <c r="P50" s="62"/>
      <c r="Q50" s="42" t="b">
        <f ca="1">IFERROR(__xludf.DUMMYFUNCTION("""COMPUTED_VALUE"""),TRUE)</f>
        <v>1</v>
      </c>
      <c r="R50" s="62"/>
      <c r="S50" s="62"/>
      <c r="T50" s="62"/>
      <c r="U50" s="62"/>
      <c r="V50" s="62"/>
      <c r="W50" s="63"/>
      <c r="X50" s="64"/>
      <c r="Y50" s="92" t="s">
        <v>55</v>
      </c>
      <c r="Z50" s="65">
        <f ca="1">IFERROR(__xludf.DUMMYFUNCTION("ArrayFormula(mod(COUNTUNIQUE($C$3:C50),2))"),0)</f>
        <v>0</v>
      </c>
    </row>
    <row r="51" spans="1:26" ht="56">
      <c r="A51" s="47">
        <f ca="1">IFERROR(__xludf.DUMMYFUNCTION("""COMPUTED_VALUE"""),4)</f>
        <v>4</v>
      </c>
      <c r="B51" s="47">
        <f ca="1">IFERROR(__xludf.DUMMYFUNCTION("""COMPUTED_VALUE"""),3)</f>
        <v>3</v>
      </c>
      <c r="C51" s="48" t="str">
        <f ca="1">IFERROR(__xludf.DUMMYFUNCTION("""COMPUTED_VALUE"""),"Programming A – Repetition in shapes")</f>
        <v>Programming A – Repetition in shapes</v>
      </c>
      <c r="D51" s="47">
        <f ca="1">IFERROR(__xludf.DUMMYFUNCTION("""COMPUTED_VALUE"""),1)</f>
        <v>1</v>
      </c>
      <c r="E51" s="48" t="str">
        <f ca="1">IFERROR(__xludf.DUMMYFUNCTION("""COMPUTED_VALUE"""),"-To identify that accuracy in programming is important")</f>
        <v>-To identify that accuracy in programming is important</v>
      </c>
      <c r="F51" s="49" t="str">
        <f ca="1">IFERROR(__xludf.DUMMYFUNCTION("""COMPUTED_VALUE""")," -I can create a code snippet for a given purpose
- I can explain the effect of changing a value of a command
- I can program a computer by typing commands")</f>
        <v xml:space="preserve"> -I can create a code snippet for a given purpose
- I can explain the effect of changing a value of a command
- I can program a computer by typing commands</v>
      </c>
      <c r="G51" s="66" t="b">
        <f ca="1">IFERROR(__xludf.DUMMYFUNCTION("""COMPUTED_VALUE"""),TRUE)</f>
        <v>1</v>
      </c>
      <c r="H51" s="67" t="b">
        <f ca="1">IFERROR(__xludf.DUMMYFUNCTION("""COMPUTED_VALUE"""),TRUE)</f>
        <v>1</v>
      </c>
      <c r="I51" s="67" t="b">
        <f ca="1">IFERROR(__xludf.DUMMYFUNCTION("""COMPUTED_VALUE"""),TRUE)</f>
        <v>1</v>
      </c>
      <c r="J51" s="67"/>
      <c r="K51" s="67"/>
      <c r="L51" s="67" t="b">
        <f ca="1">IFERROR(__xludf.DUMMYFUNCTION("""COMPUTED_VALUE"""),TRUE)</f>
        <v>1</v>
      </c>
      <c r="M51" s="68"/>
      <c r="N51" s="66" t="b">
        <f ca="1">IFERROR(__xludf.DUMMYFUNCTION("""COMPUTED_VALUE"""),TRUE)</f>
        <v>1</v>
      </c>
      <c r="O51" s="67"/>
      <c r="P51" s="67"/>
      <c r="Q51" s="67"/>
      <c r="R51" s="67"/>
      <c r="S51" s="67"/>
      <c r="T51" s="67"/>
      <c r="U51" s="67"/>
      <c r="V51" s="67" t="b">
        <f ca="1">IFERROR(__xludf.DUMMYFUNCTION("""COMPUTED_VALUE"""),TRUE)</f>
        <v>1</v>
      </c>
      <c r="W51" s="68"/>
      <c r="X51" s="69"/>
      <c r="Y51" s="93"/>
      <c r="Z51" s="70">
        <f ca="1">IFERROR(__xludf.DUMMYFUNCTION("ArrayFormula(mod(COUNTUNIQUE($C$3:C51),2))"),1)</f>
        <v>1</v>
      </c>
    </row>
    <row r="52" spans="1:26" ht="56">
      <c r="A52" s="29">
        <f ca="1">IFERROR(__xludf.DUMMYFUNCTION("""COMPUTED_VALUE"""),4)</f>
        <v>4</v>
      </c>
      <c r="B52" s="29">
        <f ca="1">IFERROR(__xludf.DUMMYFUNCTION("""COMPUTED_VALUE"""),3)</f>
        <v>3</v>
      </c>
      <c r="C52" s="30" t="str">
        <f ca="1">IFERROR(__xludf.DUMMYFUNCTION("""COMPUTED_VALUE"""),"Programming A – Repetition in shapes")</f>
        <v>Programming A – Repetition in shapes</v>
      </c>
      <c r="D52" s="29">
        <f ca="1">IFERROR(__xludf.DUMMYFUNCTION("""COMPUTED_VALUE"""),2)</f>
        <v>2</v>
      </c>
      <c r="E52" s="30" t="str">
        <f ca="1">IFERROR(__xludf.DUMMYFUNCTION("""COMPUTED_VALUE"""),"-To create a program in a text-based language")</f>
        <v>-To create a program in a text-based language</v>
      </c>
      <c r="F52" s="31" t="str">
        <f ca="1">IFERROR(__xludf.DUMMYFUNCTION("""COMPUTED_VALUE""")," -I can test my algorithm in a text-based language
- I can use a template to create a design for my program
- I can write an algorithm to produce a given outcome")</f>
        <v xml:space="preserve"> -I can test my algorithm in a text-based language
- I can use a template to create a design for my program
- I can write an algorithm to produce a given outcome</v>
      </c>
      <c r="G52" s="32" t="b">
        <f ca="1">IFERROR(__xludf.DUMMYFUNCTION("""COMPUTED_VALUE"""),TRUE)</f>
        <v>1</v>
      </c>
      <c r="H52" s="34" t="b">
        <f ca="1">IFERROR(__xludf.DUMMYFUNCTION("""COMPUTED_VALUE"""),TRUE)</f>
        <v>1</v>
      </c>
      <c r="I52" s="34" t="b">
        <f ca="1">IFERROR(__xludf.DUMMYFUNCTION("""COMPUTED_VALUE"""),TRUE)</f>
        <v>1</v>
      </c>
      <c r="J52" s="34"/>
      <c r="K52" s="34"/>
      <c r="L52" s="34" t="b">
        <f ca="1">IFERROR(__xludf.DUMMYFUNCTION("""COMPUTED_VALUE"""),TRUE)</f>
        <v>1</v>
      </c>
      <c r="M52" s="35"/>
      <c r="N52" s="32"/>
      <c r="O52" s="34"/>
      <c r="P52" s="34"/>
      <c r="Q52" s="34"/>
      <c r="R52" s="34"/>
      <c r="S52" s="34" t="b">
        <f ca="1">IFERROR(__xludf.DUMMYFUNCTION("""COMPUTED_VALUE"""),TRUE)</f>
        <v>1</v>
      </c>
      <c r="T52" s="34"/>
      <c r="U52" s="34"/>
      <c r="V52" s="34" t="b">
        <f ca="1">IFERROR(__xludf.DUMMYFUNCTION("""COMPUTED_VALUE"""),TRUE)</f>
        <v>1</v>
      </c>
      <c r="W52" s="35"/>
      <c r="X52" s="36"/>
      <c r="Y52" s="88"/>
      <c r="Z52" s="37">
        <f ca="1">IFERROR(__xludf.DUMMYFUNCTION("ArrayFormula(mod(COUNTUNIQUE($C$3:C52),2))"),1)</f>
        <v>1</v>
      </c>
    </row>
    <row r="53" spans="1:26" ht="84">
      <c r="A53" s="29">
        <f ca="1">IFERROR(__xludf.DUMMYFUNCTION("""COMPUTED_VALUE"""),4)</f>
        <v>4</v>
      </c>
      <c r="B53" s="29">
        <f ca="1">IFERROR(__xludf.DUMMYFUNCTION("""COMPUTED_VALUE"""),3)</f>
        <v>3</v>
      </c>
      <c r="C53" s="30" t="str">
        <f ca="1">IFERROR(__xludf.DUMMYFUNCTION("""COMPUTED_VALUE"""),"Programming A – Repetition in shapes")</f>
        <v>Programming A – Repetition in shapes</v>
      </c>
      <c r="D53" s="29">
        <f ca="1">IFERROR(__xludf.DUMMYFUNCTION("""COMPUTED_VALUE"""),3)</f>
        <v>3</v>
      </c>
      <c r="E53" s="30" t="str">
        <f ca="1">IFERROR(__xludf.DUMMYFUNCTION("""COMPUTED_VALUE"""),"-To explain what ‘repeat’ means")</f>
        <v>-To explain what ‘repeat’ means</v>
      </c>
      <c r="F53" s="31" t="str">
        <f ca="1">IFERROR(__xludf.DUMMYFUNCTION("""COMPUTED_VALUE""")," -I can identify everyday tasks that include repetition as part of a sequence, eg brushing teeth, dance moves
- I can identify patterns in a sequence
- I can use a count-controlled loop to produce a given outcome")</f>
        <v xml:space="preserve"> -I can identify everyday tasks that include repetition as part of a sequence, eg brushing teeth, dance moves
- I can identify patterns in a sequence
- I can use a count-controlled loop to produce a given outcome</v>
      </c>
      <c r="G53" s="32" t="b">
        <f ca="1">IFERROR(__xludf.DUMMYFUNCTION("""COMPUTED_VALUE"""),TRUE)</f>
        <v>1</v>
      </c>
      <c r="H53" s="34" t="b">
        <f ca="1">IFERROR(__xludf.DUMMYFUNCTION("""COMPUTED_VALUE"""),TRUE)</f>
        <v>1</v>
      </c>
      <c r="I53" s="34" t="b">
        <f ca="1">IFERROR(__xludf.DUMMYFUNCTION("""COMPUTED_VALUE"""),TRUE)</f>
        <v>1</v>
      </c>
      <c r="J53" s="34"/>
      <c r="K53" s="34"/>
      <c r="L53" s="34" t="b">
        <f ca="1">IFERROR(__xludf.DUMMYFUNCTION("""COMPUTED_VALUE"""),TRUE)</f>
        <v>1</v>
      </c>
      <c r="M53" s="35"/>
      <c r="N53" s="32" t="b">
        <f ca="1">IFERROR(__xludf.DUMMYFUNCTION("""COMPUTED_VALUE"""),TRUE)</f>
        <v>1</v>
      </c>
      <c r="O53" s="34"/>
      <c r="P53" s="34"/>
      <c r="Q53" s="34"/>
      <c r="R53" s="34"/>
      <c r="S53" s="34"/>
      <c r="T53" s="34"/>
      <c r="U53" s="34"/>
      <c r="V53" s="34" t="b">
        <f ca="1">IFERROR(__xludf.DUMMYFUNCTION("""COMPUTED_VALUE"""),TRUE)</f>
        <v>1</v>
      </c>
      <c r="W53" s="35"/>
      <c r="X53" s="36"/>
      <c r="Y53" s="88"/>
      <c r="Z53" s="37">
        <f ca="1">IFERROR(__xludf.DUMMYFUNCTION("ArrayFormula(mod(COUNTUNIQUE($C$3:C53),2))"),1)</f>
        <v>1</v>
      </c>
    </row>
    <row r="54" spans="1:26" ht="70">
      <c r="A54" s="29">
        <f ca="1">IFERROR(__xludf.DUMMYFUNCTION("""COMPUTED_VALUE"""),4)</f>
        <v>4</v>
      </c>
      <c r="B54" s="29">
        <f ca="1">IFERROR(__xludf.DUMMYFUNCTION("""COMPUTED_VALUE"""),3)</f>
        <v>3</v>
      </c>
      <c r="C54" s="30" t="str">
        <f ca="1">IFERROR(__xludf.DUMMYFUNCTION("""COMPUTED_VALUE"""),"Programming A – Repetition in shapes")</f>
        <v>Programming A – Repetition in shapes</v>
      </c>
      <c r="D54" s="29">
        <f ca="1">IFERROR(__xludf.DUMMYFUNCTION("""COMPUTED_VALUE"""),4)</f>
        <v>4</v>
      </c>
      <c r="E54" s="30" t="str">
        <f ca="1">IFERROR(__xludf.DUMMYFUNCTION("""COMPUTED_VALUE"""),"-To modify a count-controlled loop to produce a given outcome")</f>
        <v>-To modify a count-controlled loop to produce a given outcome</v>
      </c>
      <c r="F54" s="31" t="str">
        <f ca="1">IFERROR(__xludf.DUMMYFUNCTION("""COMPUTED_VALUE""")," -I can choose which values to change in a loop
- I can identify the effect of changing the number of times a task is repeated
- I can predict the outcome of a program containing a count-controlled loop")</f>
        <v xml:space="preserve"> -I can choose which values to change in a loop
- I can identify the effect of changing the number of times a task is repeated
- I can predict the outcome of a program containing a count-controlled loop</v>
      </c>
      <c r="G54" s="32" t="b">
        <f ca="1">IFERROR(__xludf.DUMMYFUNCTION("""COMPUTED_VALUE"""),TRUE)</f>
        <v>1</v>
      </c>
      <c r="H54" s="34" t="b">
        <f ca="1">IFERROR(__xludf.DUMMYFUNCTION("""COMPUTED_VALUE"""),TRUE)</f>
        <v>1</v>
      </c>
      <c r="I54" s="34" t="b">
        <f ca="1">IFERROR(__xludf.DUMMYFUNCTION("""COMPUTED_VALUE"""),TRUE)</f>
        <v>1</v>
      </c>
      <c r="J54" s="34"/>
      <c r="K54" s="34"/>
      <c r="L54" s="34" t="b">
        <f ca="1">IFERROR(__xludf.DUMMYFUNCTION("""COMPUTED_VALUE"""),TRUE)</f>
        <v>1</v>
      </c>
      <c r="M54" s="35"/>
      <c r="N54" s="32"/>
      <c r="O54" s="34"/>
      <c r="P54" s="34"/>
      <c r="Q54" s="34"/>
      <c r="R54" s="34"/>
      <c r="S54" s="34"/>
      <c r="T54" s="34"/>
      <c r="U54" s="34"/>
      <c r="V54" s="34" t="b">
        <f ca="1">IFERROR(__xludf.DUMMYFUNCTION("""COMPUTED_VALUE"""),TRUE)</f>
        <v>1</v>
      </c>
      <c r="W54" s="35"/>
      <c r="X54" s="36"/>
      <c r="Y54" s="88"/>
      <c r="Z54" s="37">
        <f ca="1">IFERROR(__xludf.DUMMYFUNCTION("ArrayFormula(mod(COUNTUNIQUE($C$3:C54),2))"),1)</f>
        <v>1</v>
      </c>
    </row>
    <row r="55" spans="1:26" ht="56">
      <c r="A55" s="29">
        <f ca="1">IFERROR(__xludf.DUMMYFUNCTION("""COMPUTED_VALUE"""),4)</f>
        <v>4</v>
      </c>
      <c r="B55" s="29">
        <f ca="1">IFERROR(__xludf.DUMMYFUNCTION("""COMPUTED_VALUE"""),3)</f>
        <v>3</v>
      </c>
      <c r="C55" s="30" t="str">
        <f ca="1">IFERROR(__xludf.DUMMYFUNCTION("""COMPUTED_VALUE"""),"Programming A – Repetition in shapes")</f>
        <v>Programming A – Repetition in shapes</v>
      </c>
      <c r="D55" s="29">
        <f ca="1">IFERROR(__xludf.DUMMYFUNCTION("""COMPUTED_VALUE"""),5)</f>
        <v>5</v>
      </c>
      <c r="E55" s="30" t="str">
        <f ca="1">IFERROR(__xludf.DUMMYFUNCTION("""COMPUTED_VALUE"""),"-To decompose a task into small steps")</f>
        <v>-To decompose a task into small steps</v>
      </c>
      <c r="F55" s="31" t="str">
        <f ca="1">IFERROR(__xludf.DUMMYFUNCTION("""COMPUTED_VALUE""")," -I can explain that a computer can repeatedly call a procedure
- I can identify ‘chunks’ of actions in the real world
- I can use a procedure in a program")</f>
        <v xml:space="preserve"> -I can explain that a computer can repeatedly call a procedure
- I can identify ‘chunks’ of actions in the real world
- I can use a procedure in a program</v>
      </c>
      <c r="G55" s="32" t="b">
        <f ca="1">IFERROR(__xludf.DUMMYFUNCTION("""COMPUTED_VALUE"""),TRUE)</f>
        <v>1</v>
      </c>
      <c r="H55" s="34" t="b">
        <f ca="1">IFERROR(__xludf.DUMMYFUNCTION("""COMPUTED_VALUE"""),TRUE)</f>
        <v>1</v>
      </c>
      <c r="I55" s="34" t="b">
        <f ca="1">IFERROR(__xludf.DUMMYFUNCTION("""COMPUTED_VALUE"""),TRUE)</f>
        <v>1</v>
      </c>
      <c r="J55" s="34"/>
      <c r="K55" s="34"/>
      <c r="L55" s="34" t="b">
        <f ca="1">IFERROR(__xludf.DUMMYFUNCTION("""COMPUTED_VALUE"""),TRUE)</f>
        <v>1</v>
      </c>
      <c r="M55" s="35"/>
      <c r="N55" s="32" t="b">
        <f ca="1">IFERROR(__xludf.DUMMYFUNCTION("""COMPUTED_VALUE"""),TRUE)</f>
        <v>1</v>
      </c>
      <c r="O55" s="34"/>
      <c r="P55" s="34"/>
      <c r="Q55" s="34"/>
      <c r="R55" s="34"/>
      <c r="S55" s="34"/>
      <c r="T55" s="34"/>
      <c r="U55" s="34"/>
      <c r="V55" s="34" t="b">
        <f ca="1">IFERROR(__xludf.DUMMYFUNCTION("""COMPUTED_VALUE"""),TRUE)</f>
        <v>1</v>
      </c>
      <c r="W55" s="35"/>
      <c r="X55" s="36"/>
      <c r="Y55" s="88"/>
      <c r="Z55" s="37">
        <f ca="1">IFERROR(__xludf.DUMMYFUNCTION("ArrayFormula(mod(COUNTUNIQUE($C$3:C55),2))"),1)</f>
        <v>1</v>
      </c>
    </row>
    <row r="56" spans="1:26" ht="56">
      <c r="A56" s="38">
        <f ca="1">IFERROR(__xludf.DUMMYFUNCTION("""COMPUTED_VALUE"""),4)</f>
        <v>4</v>
      </c>
      <c r="B56" s="38">
        <f ca="1">IFERROR(__xludf.DUMMYFUNCTION("""COMPUTED_VALUE"""),3)</f>
        <v>3</v>
      </c>
      <c r="C56" s="39" t="str">
        <f ca="1">IFERROR(__xludf.DUMMYFUNCTION("""COMPUTED_VALUE"""),"Programming A – Repetition in shapes")</f>
        <v>Programming A – Repetition in shapes</v>
      </c>
      <c r="D56" s="38">
        <f ca="1">IFERROR(__xludf.DUMMYFUNCTION("""COMPUTED_VALUE"""),6)</f>
        <v>6</v>
      </c>
      <c r="E56" s="39" t="str">
        <f ca="1">IFERROR(__xludf.DUMMYFUNCTION("""COMPUTED_VALUE"""),"-To create a program that uses count-controlled loops to produce a given outcome")</f>
        <v>-To create a program that uses count-controlled loops to produce a given outcome</v>
      </c>
      <c r="F56" s="40" t="str">
        <f ca="1">IFERROR(__xludf.DUMMYFUNCTION("""COMPUTED_VALUE""")," -I can design a program that includes count-controlled loops
- I can develop my program by debugging it
- I can make use of my design to write a program")</f>
        <v xml:space="preserve"> -I can design a program that includes count-controlled loops
- I can develop my program by debugging it
- I can make use of my design to write a program</v>
      </c>
      <c r="G56" s="41" t="b">
        <f ca="1">IFERROR(__xludf.DUMMYFUNCTION("""COMPUTED_VALUE"""),TRUE)</f>
        <v>1</v>
      </c>
      <c r="H56" s="43" t="b">
        <f ca="1">IFERROR(__xludf.DUMMYFUNCTION("""COMPUTED_VALUE"""),TRUE)</f>
        <v>1</v>
      </c>
      <c r="I56" s="43" t="b">
        <f ca="1">IFERROR(__xludf.DUMMYFUNCTION("""COMPUTED_VALUE"""),TRUE)</f>
        <v>1</v>
      </c>
      <c r="J56" s="43"/>
      <c r="K56" s="43"/>
      <c r="L56" s="43" t="b">
        <f ca="1">IFERROR(__xludf.DUMMYFUNCTION("""COMPUTED_VALUE"""),TRUE)</f>
        <v>1</v>
      </c>
      <c r="M56" s="44"/>
      <c r="N56" s="41"/>
      <c r="O56" s="43"/>
      <c r="P56" s="43"/>
      <c r="Q56" s="43"/>
      <c r="R56" s="43"/>
      <c r="S56" s="43"/>
      <c r="T56" s="43"/>
      <c r="U56" s="43"/>
      <c r="V56" s="43" t="b">
        <f ca="1">IFERROR(__xludf.DUMMYFUNCTION("""COMPUTED_VALUE"""),TRUE)</f>
        <v>1</v>
      </c>
      <c r="W56" s="44"/>
      <c r="X56" s="45"/>
      <c r="Y56" s="89"/>
      <c r="Z56" s="46">
        <f ca="1">IFERROR(__xludf.DUMMYFUNCTION("ArrayFormula(mod(COUNTUNIQUE($C$3:C56),2))"),1)</f>
        <v>1</v>
      </c>
    </row>
    <row r="57" spans="1:26" ht="56">
      <c r="A57" s="47">
        <f ca="1">IFERROR(__xludf.DUMMYFUNCTION("""COMPUTED_VALUE"""),4)</f>
        <v>4</v>
      </c>
      <c r="B57" s="47">
        <f ca="1">IFERROR(__xludf.DUMMYFUNCTION("""COMPUTED_VALUE"""),4)</f>
        <v>4</v>
      </c>
      <c r="C57" s="48" t="str">
        <f ca="1">IFERROR(__xludf.DUMMYFUNCTION("""COMPUTED_VALUE"""),"Data and information – Data logging")</f>
        <v>Data and information – Data logging</v>
      </c>
      <c r="D57" s="47">
        <f ca="1">IFERROR(__xludf.DUMMYFUNCTION("""COMPUTED_VALUE"""),1)</f>
        <v>1</v>
      </c>
      <c r="E57" s="48" t="str">
        <f ca="1">IFERROR(__xludf.DUMMYFUNCTION("""COMPUTED_VALUE"""),"-To explain that data gathered over time can be used to answer questions")</f>
        <v>-To explain that data gathered over time can be used to answer questions</v>
      </c>
      <c r="F57" s="49" t="str">
        <f ca="1">IFERROR(__xludf.DUMMYFUNCTION("""COMPUTED_VALUE""")," -I can choose a data set to answer a given question
- I can identify data that can be gathered over time
- I can suggest questions that can be answered using a given data set")</f>
        <v xml:space="preserve"> -I can choose a data set to answer a given question
- I can identify data that can be gathered over time
- I can suggest questions that can be answered using a given data set</v>
      </c>
      <c r="G57" s="50"/>
      <c r="H57" s="52" t="b">
        <f ca="1">IFERROR(__xludf.DUMMYFUNCTION("""COMPUTED_VALUE"""),TRUE)</f>
        <v>1</v>
      </c>
      <c r="I57" s="51"/>
      <c r="J57" s="51"/>
      <c r="K57" s="51"/>
      <c r="L57" s="52" t="b">
        <f ca="1">IFERROR(__xludf.DUMMYFUNCTION("""COMPUTED_VALUE"""),TRUE)</f>
        <v>1</v>
      </c>
      <c r="M57" s="53"/>
      <c r="N57" s="50"/>
      <c r="O57" s="51"/>
      <c r="P57" s="51"/>
      <c r="Q57" s="51"/>
      <c r="R57" s="52" t="b">
        <f ca="1">IFERROR(__xludf.DUMMYFUNCTION("""COMPUTED_VALUE"""),TRUE)</f>
        <v>1</v>
      </c>
      <c r="S57" s="51"/>
      <c r="T57" s="51"/>
      <c r="U57" s="51"/>
      <c r="V57" s="51"/>
      <c r="W57" s="53"/>
      <c r="X57" s="71"/>
      <c r="Y57" s="94"/>
      <c r="Z57" s="55">
        <f ca="1">IFERROR(__xludf.DUMMYFUNCTION("ArrayFormula(mod(COUNTUNIQUE($C$3:C57),2))"),0)</f>
        <v>0</v>
      </c>
    </row>
    <row r="58" spans="1:26" ht="84">
      <c r="A58" s="29">
        <f ca="1">IFERROR(__xludf.DUMMYFUNCTION("""COMPUTED_VALUE"""),4)</f>
        <v>4</v>
      </c>
      <c r="B58" s="29">
        <f ca="1">IFERROR(__xludf.DUMMYFUNCTION("""COMPUTED_VALUE"""),4)</f>
        <v>4</v>
      </c>
      <c r="C58" s="30" t="str">
        <f ca="1">IFERROR(__xludf.DUMMYFUNCTION("""COMPUTED_VALUE"""),"Data and information – Data logging")</f>
        <v>Data and information – Data logging</v>
      </c>
      <c r="D58" s="29">
        <f ca="1">IFERROR(__xludf.DUMMYFUNCTION("""COMPUTED_VALUE"""),2)</f>
        <v>2</v>
      </c>
      <c r="E58" s="30" t="str">
        <f ca="1">IFERROR(__xludf.DUMMYFUNCTION("""COMPUTED_VALUE"""),"-To use a digital device to collect data automatically")</f>
        <v>-To use a digital device to collect data automatically</v>
      </c>
      <c r="F58" s="31" t="str">
        <f ca="1">IFERROR(__xludf.DUMMYFUNCTION("""COMPUTED_VALUE""")," -I can explain what data can be collected using sensors
- I can identify that data from sensors can be recorded
- I can use data from a sensor to answer a given question")</f>
        <v xml:space="preserve"> -I can explain what data can be collected using sensors
- I can identify that data from sensors can be recorded
- I can use data from a sensor to answer a given question</v>
      </c>
      <c r="G58" s="56"/>
      <c r="H58" s="33" t="b">
        <f ca="1">IFERROR(__xludf.DUMMYFUNCTION("""COMPUTED_VALUE"""),TRUE)</f>
        <v>1</v>
      </c>
      <c r="I58" s="57"/>
      <c r="J58" s="57"/>
      <c r="K58" s="57"/>
      <c r="L58" s="33" t="b">
        <f ca="1">IFERROR(__xludf.DUMMYFUNCTION("""COMPUTED_VALUE"""),TRUE)</f>
        <v>1</v>
      </c>
      <c r="M58" s="58"/>
      <c r="N58" s="56"/>
      <c r="O58" s="57"/>
      <c r="P58" s="33" t="b">
        <f ca="1">IFERROR(__xludf.DUMMYFUNCTION("""COMPUTED_VALUE"""),TRUE)</f>
        <v>1</v>
      </c>
      <c r="Q58" s="57"/>
      <c r="R58" s="33" t="b">
        <f ca="1">IFERROR(__xludf.DUMMYFUNCTION("""COMPUTED_VALUE"""),TRUE)</f>
        <v>1</v>
      </c>
      <c r="S58" s="33" t="b">
        <f ca="1">IFERROR(__xludf.DUMMYFUNCTION("""COMPUTED_VALUE"""),TRUE)</f>
        <v>1</v>
      </c>
      <c r="T58" s="57"/>
      <c r="U58" s="57"/>
      <c r="V58" s="57"/>
      <c r="W58" s="58"/>
      <c r="X58" s="72"/>
      <c r="Y58" s="95"/>
      <c r="Z58" s="60">
        <f ca="1">IFERROR(__xludf.DUMMYFUNCTION("ArrayFormula(mod(COUNTUNIQUE($C$3:C58),2))"),0)</f>
        <v>0</v>
      </c>
    </row>
    <row r="59" spans="1:26" ht="56">
      <c r="A59" s="29">
        <f ca="1">IFERROR(__xludf.DUMMYFUNCTION("""COMPUTED_VALUE"""),4)</f>
        <v>4</v>
      </c>
      <c r="B59" s="29">
        <f ca="1">IFERROR(__xludf.DUMMYFUNCTION("""COMPUTED_VALUE"""),4)</f>
        <v>4</v>
      </c>
      <c r="C59" s="30" t="str">
        <f ca="1">IFERROR(__xludf.DUMMYFUNCTION("""COMPUTED_VALUE"""),"Data and information – Data logging")</f>
        <v>Data and information – Data logging</v>
      </c>
      <c r="D59" s="29">
        <f ca="1">IFERROR(__xludf.DUMMYFUNCTION("""COMPUTED_VALUE"""),3)</f>
        <v>3</v>
      </c>
      <c r="E59" s="30" t="str">
        <f ca="1">IFERROR(__xludf.DUMMYFUNCTION("""COMPUTED_VALUE"""),"-To explain that a data logger collects ‘data points’ from sensors over time")</f>
        <v>-To explain that a data logger collects ‘data points’ from sensors over time</v>
      </c>
      <c r="F59" s="31" t="str">
        <f ca="1">IFERROR(__xludf.DUMMYFUNCTION("""COMPUTED_VALUE""")," -I can identify the intervals used to collect data
- I can recognise that a data logger collects data at given points
- I can talk about the data that I have captured")</f>
        <v xml:space="preserve"> -I can identify the intervals used to collect data
- I can recognise that a data logger collects data at given points
- I can talk about the data that I have captured</v>
      </c>
      <c r="G59" s="56"/>
      <c r="H59" s="33" t="b">
        <f ca="1">IFERROR(__xludf.DUMMYFUNCTION("""COMPUTED_VALUE"""),TRUE)</f>
        <v>1</v>
      </c>
      <c r="I59" s="57"/>
      <c r="J59" s="57"/>
      <c r="K59" s="57"/>
      <c r="L59" s="33" t="b">
        <f ca="1">IFERROR(__xludf.DUMMYFUNCTION("""COMPUTED_VALUE"""),TRUE)</f>
        <v>1</v>
      </c>
      <c r="M59" s="58"/>
      <c r="N59" s="56"/>
      <c r="O59" s="57"/>
      <c r="P59" s="33" t="b">
        <f ca="1">IFERROR(__xludf.DUMMYFUNCTION("""COMPUTED_VALUE"""),TRUE)</f>
        <v>1</v>
      </c>
      <c r="Q59" s="57"/>
      <c r="R59" s="33" t="b">
        <f ca="1">IFERROR(__xludf.DUMMYFUNCTION("""COMPUTED_VALUE"""),TRUE)</f>
        <v>1</v>
      </c>
      <c r="S59" s="33" t="b">
        <f ca="1">IFERROR(__xludf.DUMMYFUNCTION("""COMPUTED_VALUE"""),TRUE)</f>
        <v>1</v>
      </c>
      <c r="T59" s="57"/>
      <c r="U59" s="57"/>
      <c r="V59" s="57"/>
      <c r="W59" s="58"/>
      <c r="X59" s="72"/>
      <c r="Y59" s="95"/>
      <c r="Z59" s="60">
        <f ca="1">IFERROR(__xludf.DUMMYFUNCTION("ArrayFormula(mod(COUNTUNIQUE($C$3:C59),2))"),0)</f>
        <v>0</v>
      </c>
    </row>
    <row r="60" spans="1:26" ht="56">
      <c r="A60" s="29">
        <f ca="1">IFERROR(__xludf.DUMMYFUNCTION("""COMPUTED_VALUE"""),4)</f>
        <v>4</v>
      </c>
      <c r="B60" s="29">
        <f ca="1">IFERROR(__xludf.DUMMYFUNCTION("""COMPUTED_VALUE"""),4)</f>
        <v>4</v>
      </c>
      <c r="C60" s="30" t="str">
        <f ca="1">IFERROR(__xludf.DUMMYFUNCTION("""COMPUTED_VALUE"""),"Data and information – Data logging")</f>
        <v>Data and information – Data logging</v>
      </c>
      <c r="D60" s="29">
        <f ca="1">IFERROR(__xludf.DUMMYFUNCTION("""COMPUTED_VALUE"""),4)</f>
        <v>4</v>
      </c>
      <c r="E60" s="30" t="str">
        <f ca="1">IFERROR(__xludf.DUMMYFUNCTION("""COMPUTED_VALUE"""),"-To recognise how a computer can help us analyse data")</f>
        <v>-To recognise how a computer can help us analyse data</v>
      </c>
      <c r="F60" s="31" t="str">
        <f ca="1">IFERROR(__xludf.DUMMYFUNCTION("""COMPUTED_VALUE""")," -I can explain that there are different ways to view data
- I can sort data to find information
- I can view data at different levels of detail")</f>
        <v xml:space="preserve"> -I can explain that there are different ways to view data
- I can sort data to find information
- I can view data at different levels of detail</v>
      </c>
      <c r="G60" s="56"/>
      <c r="H60" s="33" t="b">
        <f ca="1">IFERROR(__xludf.DUMMYFUNCTION("""COMPUTED_VALUE"""),TRUE)</f>
        <v>1</v>
      </c>
      <c r="I60" s="57"/>
      <c r="J60" s="57"/>
      <c r="K60" s="57"/>
      <c r="L60" s="33" t="b">
        <f ca="1">IFERROR(__xludf.DUMMYFUNCTION("""COMPUTED_VALUE"""),TRUE)</f>
        <v>1</v>
      </c>
      <c r="M60" s="58"/>
      <c r="N60" s="56"/>
      <c r="O60" s="57"/>
      <c r="P60" s="57"/>
      <c r="Q60" s="57"/>
      <c r="R60" s="33" t="b">
        <f ca="1">IFERROR(__xludf.DUMMYFUNCTION("""COMPUTED_VALUE"""),TRUE)</f>
        <v>1</v>
      </c>
      <c r="S60" s="33" t="b">
        <f ca="1">IFERROR(__xludf.DUMMYFUNCTION("""COMPUTED_VALUE"""),TRUE)</f>
        <v>1</v>
      </c>
      <c r="T60" s="57"/>
      <c r="U60" s="57"/>
      <c r="V60" s="57"/>
      <c r="W60" s="58"/>
      <c r="X60" s="72"/>
      <c r="Y60" s="95"/>
      <c r="Z60" s="60">
        <f ca="1">IFERROR(__xludf.DUMMYFUNCTION("ArrayFormula(mod(COUNTUNIQUE($C$3:C60),2))"),0)</f>
        <v>0</v>
      </c>
    </row>
    <row r="61" spans="1:26" ht="56">
      <c r="A61" s="29">
        <f ca="1">IFERROR(__xludf.DUMMYFUNCTION("""COMPUTED_VALUE"""),4)</f>
        <v>4</v>
      </c>
      <c r="B61" s="29">
        <f ca="1">IFERROR(__xludf.DUMMYFUNCTION("""COMPUTED_VALUE"""),4)</f>
        <v>4</v>
      </c>
      <c r="C61" s="30" t="str">
        <f ca="1">IFERROR(__xludf.DUMMYFUNCTION("""COMPUTED_VALUE"""),"Data and information – Data logging")</f>
        <v>Data and information – Data logging</v>
      </c>
      <c r="D61" s="29">
        <f ca="1">IFERROR(__xludf.DUMMYFUNCTION("""COMPUTED_VALUE"""),5)</f>
        <v>5</v>
      </c>
      <c r="E61" s="30" t="str">
        <f ca="1">IFERROR(__xludf.DUMMYFUNCTION("""COMPUTED_VALUE"""),"-To identify the data needed to answer questions")</f>
        <v>-To identify the data needed to answer questions</v>
      </c>
      <c r="F61" s="31" t="str">
        <f ca="1">IFERROR(__xludf.DUMMYFUNCTION("""COMPUTED_VALUE""")," -I can plan how to collect data using a data logger
- I can propose a question that can be answered using logged data
- I can use a data logger to collect data")</f>
        <v xml:space="preserve"> -I can plan how to collect data using a data logger
- I can propose a question that can be answered using logged data
- I can use a data logger to collect data</v>
      </c>
      <c r="G61" s="56"/>
      <c r="H61" s="33" t="b">
        <f ca="1">IFERROR(__xludf.DUMMYFUNCTION("""COMPUTED_VALUE"""),TRUE)</f>
        <v>1</v>
      </c>
      <c r="I61" s="57"/>
      <c r="J61" s="57"/>
      <c r="K61" s="57"/>
      <c r="L61" s="33" t="b">
        <f ca="1">IFERROR(__xludf.DUMMYFUNCTION("""COMPUTED_VALUE"""),TRUE)</f>
        <v>1</v>
      </c>
      <c r="M61" s="58"/>
      <c r="N61" s="56"/>
      <c r="O61" s="57"/>
      <c r="P61" s="33" t="b">
        <f ca="1">IFERROR(__xludf.DUMMYFUNCTION("""COMPUTED_VALUE"""),TRUE)</f>
        <v>1</v>
      </c>
      <c r="Q61" s="57"/>
      <c r="R61" s="33" t="b">
        <f ca="1">IFERROR(__xludf.DUMMYFUNCTION("""COMPUTED_VALUE"""),TRUE)</f>
        <v>1</v>
      </c>
      <c r="S61" s="33" t="b">
        <f ca="1">IFERROR(__xludf.DUMMYFUNCTION("""COMPUTED_VALUE"""),TRUE)</f>
        <v>1</v>
      </c>
      <c r="T61" s="57"/>
      <c r="U61" s="57"/>
      <c r="V61" s="57"/>
      <c r="W61" s="58"/>
      <c r="X61" s="72"/>
      <c r="Y61" s="95"/>
      <c r="Z61" s="60">
        <f ca="1">IFERROR(__xludf.DUMMYFUNCTION("ArrayFormula(mod(COUNTUNIQUE($C$3:C61),2))"),0)</f>
        <v>0</v>
      </c>
    </row>
    <row r="62" spans="1:26" ht="70">
      <c r="A62" s="38">
        <f ca="1">IFERROR(__xludf.DUMMYFUNCTION("""COMPUTED_VALUE"""),4)</f>
        <v>4</v>
      </c>
      <c r="B62" s="38">
        <f ca="1">IFERROR(__xludf.DUMMYFUNCTION("""COMPUTED_VALUE"""),4)</f>
        <v>4</v>
      </c>
      <c r="C62" s="39" t="str">
        <f ca="1">IFERROR(__xludf.DUMMYFUNCTION("""COMPUTED_VALUE"""),"Data and information – Data logging")</f>
        <v>Data and information – Data logging</v>
      </c>
      <c r="D62" s="38">
        <f ca="1">IFERROR(__xludf.DUMMYFUNCTION("""COMPUTED_VALUE"""),6)</f>
        <v>6</v>
      </c>
      <c r="E62" s="39" t="str">
        <f ca="1">IFERROR(__xludf.DUMMYFUNCTION("""COMPUTED_VALUE""")," -To use data from sensors to answer questions 
")</f>
        <v xml:space="preserve"> -To use data from sensors to answer questions 
</v>
      </c>
      <c r="F62" s="40" t="str">
        <f ca="1">IFERROR(__xludf.DUMMYFUNCTION("""COMPUTED_VALUE""")," -I can draw conclusions from the data that I have collected
- I can explain the benefits of using a data logger
- I can interpret data that has been collected using a data logger")</f>
        <v xml:space="preserve"> -I can draw conclusions from the data that I have collected
- I can explain the benefits of using a data logger
- I can interpret data that has been collected using a data logger</v>
      </c>
      <c r="G62" s="61"/>
      <c r="H62" s="42" t="b">
        <f ca="1">IFERROR(__xludf.DUMMYFUNCTION("""COMPUTED_VALUE"""),TRUE)</f>
        <v>1</v>
      </c>
      <c r="I62" s="62"/>
      <c r="J62" s="62"/>
      <c r="K62" s="62"/>
      <c r="L62" s="42" t="b">
        <f ca="1">IFERROR(__xludf.DUMMYFUNCTION("""COMPUTED_VALUE"""),TRUE)</f>
        <v>1</v>
      </c>
      <c r="M62" s="63"/>
      <c r="N62" s="61"/>
      <c r="O62" s="62"/>
      <c r="P62" s="42" t="b">
        <f ca="1">IFERROR(__xludf.DUMMYFUNCTION("""COMPUTED_VALUE"""),TRUE)</f>
        <v>1</v>
      </c>
      <c r="Q62" s="62"/>
      <c r="R62" s="42" t="b">
        <f ca="1">IFERROR(__xludf.DUMMYFUNCTION("""COMPUTED_VALUE"""),TRUE)</f>
        <v>1</v>
      </c>
      <c r="S62" s="62"/>
      <c r="T62" s="62"/>
      <c r="U62" s="62"/>
      <c r="V62" s="62"/>
      <c r="W62" s="63"/>
      <c r="X62" s="73"/>
      <c r="Y62" s="96"/>
      <c r="Z62" s="65">
        <f ca="1">IFERROR(__xludf.DUMMYFUNCTION("ArrayFormula(mod(COUNTUNIQUE($C$3:C62),2))"),0)</f>
        <v>0</v>
      </c>
    </row>
    <row r="63" spans="1:26" ht="42">
      <c r="A63" s="47">
        <f ca="1">IFERROR(__xludf.DUMMYFUNCTION("""COMPUTED_VALUE"""),4)</f>
        <v>4</v>
      </c>
      <c r="B63" s="47">
        <f ca="1">IFERROR(__xludf.DUMMYFUNCTION("""COMPUTED_VALUE"""),5)</f>
        <v>5</v>
      </c>
      <c r="C63" s="48" t="str">
        <f ca="1">IFERROR(__xludf.DUMMYFUNCTION("""COMPUTED_VALUE"""),"Creating media – Photo editing")</f>
        <v>Creating media – Photo editing</v>
      </c>
      <c r="D63" s="47">
        <f ca="1">IFERROR(__xludf.DUMMYFUNCTION("""COMPUTED_VALUE"""),1)</f>
        <v>1</v>
      </c>
      <c r="E63" s="48" t="str">
        <f ca="1">IFERROR(__xludf.DUMMYFUNCTION("""COMPUTED_VALUE"""),"-To explain that the composition of digital images can be changed")</f>
        <v>-To explain that the composition of digital images can be changed</v>
      </c>
      <c r="F63" s="49" t="str">
        <f ca="1">IFERROR(__xludf.DUMMYFUNCTION("""COMPUTED_VALUE""")," -I can explain why I might crop an image
- I can improve an image by rotating it
- I can use photo editing software to crop an image")</f>
        <v xml:space="preserve"> -I can explain why I might crop an image
- I can improve an image by rotating it
- I can use photo editing software to crop an image</v>
      </c>
      <c r="G63" s="66"/>
      <c r="H63" s="67"/>
      <c r="I63" s="67"/>
      <c r="J63" s="67"/>
      <c r="K63" s="67"/>
      <c r="L63" s="67" t="b">
        <f ca="1">IFERROR(__xludf.DUMMYFUNCTION("""COMPUTED_VALUE"""),TRUE)</f>
        <v>1</v>
      </c>
      <c r="M63" s="68" t="b">
        <f ca="1">IFERROR(__xludf.DUMMYFUNCTION("""COMPUTED_VALUE"""),TRUE)</f>
        <v>1</v>
      </c>
      <c r="N63" s="66"/>
      <c r="O63" s="67" t="b">
        <f ca="1">IFERROR(__xludf.DUMMYFUNCTION("""COMPUTED_VALUE"""),TRUE)</f>
        <v>1</v>
      </c>
      <c r="P63" s="67"/>
      <c r="Q63" s="67"/>
      <c r="R63" s="67"/>
      <c r="S63" s="67" t="b">
        <f ca="1">IFERROR(__xludf.DUMMYFUNCTION("""COMPUTED_VALUE"""),TRUE)</f>
        <v>1</v>
      </c>
      <c r="T63" s="67"/>
      <c r="U63" s="67"/>
      <c r="V63" s="67"/>
      <c r="W63" s="68"/>
      <c r="X63" s="54"/>
      <c r="Y63" s="90" t="s">
        <v>61</v>
      </c>
      <c r="Z63" s="70">
        <f ca="1">IFERROR(__xludf.DUMMYFUNCTION("ArrayFormula(mod(COUNTUNIQUE($C$3:C63),2))"),1)</f>
        <v>1</v>
      </c>
    </row>
    <row r="64" spans="1:26" ht="56">
      <c r="A64" s="29">
        <f ca="1">IFERROR(__xludf.DUMMYFUNCTION("""COMPUTED_VALUE"""),4)</f>
        <v>4</v>
      </c>
      <c r="B64" s="29">
        <f ca="1">IFERROR(__xludf.DUMMYFUNCTION("""COMPUTED_VALUE"""),5)</f>
        <v>5</v>
      </c>
      <c r="C64" s="30" t="str">
        <f ca="1">IFERROR(__xludf.DUMMYFUNCTION("""COMPUTED_VALUE"""),"Creating media – Photo editing")</f>
        <v>Creating media – Photo editing</v>
      </c>
      <c r="D64" s="29">
        <f ca="1">IFERROR(__xludf.DUMMYFUNCTION("""COMPUTED_VALUE"""),2)</f>
        <v>2</v>
      </c>
      <c r="E64" s="30" t="str">
        <f ca="1">IFERROR(__xludf.DUMMYFUNCTION("""COMPUTED_VALUE"""),"-To explain that colours can be changed in digital images")</f>
        <v>-To explain that colours can be changed in digital images</v>
      </c>
      <c r="F64" s="31" t="str">
        <f ca="1">IFERROR(__xludf.DUMMYFUNCTION("""COMPUTED_VALUE""")," -I can experiment with different colour effects
- I can explain that different colour effects make you think and feel different things
- I can explain why I chose certain colour effects")</f>
        <v xml:space="preserve"> -I can experiment with different colour effects
- I can explain that different colour effects make you think and feel different things
- I can explain why I chose certain colour effects</v>
      </c>
      <c r="G64" s="32"/>
      <c r="H64" s="34"/>
      <c r="I64" s="34"/>
      <c r="J64" s="34"/>
      <c r="K64" s="34"/>
      <c r="L64" s="34" t="b">
        <f ca="1">IFERROR(__xludf.DUMMYFUNCTION("""COMPUTED_VALUE"""),TRUE)</f>
        <v>1</v>
      </c>
      <c r="M64" s="35" t="b">
        <f ca="1">IFERROR(__xludf.DUMMYFUNCTION("""COMPUTED_VALUE"""),TRUE)</f>
        <v>1</v>
      </c>
      <c r="N64" s="32"/>
      <c r="O64" s="34" t="b">
        <f ca="1">IFERROR(__xludf.DUMMYFUNCTION("""COMPUTED_VALUE"""),TRUE)</f>
        <v>1</v>
      </c>
      <c r="P64" s="34"/>
      <c r="Q64" s="34"/>
      <c r="R64" s="34"/>
      <c r="S64" s="34" t="b">
        <f ca="1">IFERROR(__xludf.DUMMYFUNCTION("""COMPUTED_VALUE"""),TRUE)</f>
        <v>1</v>
      </c>
      <c r="T64" s="34" t="b">
        <f ca="1">IFERROR(__xludf.DUMMYFUNCTION("""COMPUTED_VALUE"""),TRUE)</f>
        <v>1</v>
      </c>
      <c r="U64" s="34"/>
      <c r="V64" s="34"/>
      <c r="W64" s="35"/>
      <c r="X64" s="59"/>
      <c r="Y64" s="91" t="s">
        <v>61</v>
      </c>
      <c r="Z64" s="37">
        <f ca="1">IFERROR(__xludf.DUMMYFUNCTION("ArrayFormula(mod(COUNTUNIQUE($C$3:C64),2))"),1)</f>
        <v>1</v>
      </c>
    </row>
    <row r="65" spans="1:26" ht="42">
      <c r="A65" s="29">
        <f ca="1">IFERROR(__xludf.DUMMYFUNCTION("""COMPUTED_VALUE"""),4)</f>
        <v>4</v>
      </c>
      <c r="B65" s="29">
        <f ca="1">IFERROR(__xludf.DUMMYFUNCTION("""COMPUTED_VALUE"""),5)</f>
        <v>5</v>
      </c>
      <c r="C65" s="30" t="str">
        <f ca="1">IFERROR(__xludf.DUMMYFUNCTION("""COMPUTED_VALUE"""),"Creating media – Photo editing")</f>
        <v>Creating media – Photo editing</v>
      </c>
      <c r="D65" s="29">
        <f ca="1">IFERROR(__xludf.DUMMYFUNCTION("""COMPUTED_VALUE"""),3)</f>
        <v>3</v>
      </c>
      <c r="E65" s="30" t="str">
        <f ca="1">IFERROR(__xludf.DUMMYFUNCTION("""COMPUTED_VALUE"""),"-To explain how cloning can be used in photo editing")</f>
        <v>-To explain how cloning can be used in photo editing</v>
      </c>
      <c r="F65" s="31" t="str">
        <f ca="1">IFERROR(__xludf.DUMMYFUNCTION("""COMPUTED_VALUE""")," -I can add to the composition of an image by cloning
- I can identify how a photo edit can be improved
- I can remove parts of an image using cloning")</f>
        <v xml:space="preserve"> -I can add to the composition of an image by cloning
- I can identify how a photo edit can be improved
- I can remove parts of an image using cloning</v>
      </c>
      <c r="G65" s="32"/>
      <c r="H65" s="34"/>
      <c r="I65" s="34"/>
      <c r="J65" s="34"/>
      <c r="K65" s="34"/>
      <c r="L65" s="34" t="b">
        <f ca="1">IFERROR(__xludf.DUMMYFUNCTION("""COMPUTED_VALUE"""),TRUE)</f>
        <v>1</v>
      </c>
      <c r="M65" s="35" t="b">
        <f ca="1">IFERROR(__xludf.DUMMYFUNCTION("""COMPUTED_VALUE"""),TRUE)</f>
        <v>1</v>
      </c>
      <c r="N65" s="32"/>
      <c r="O65" s="34" t="b">
        <f ca="1">IFERROR(__xludf.DUMMYFUNCTION("""COMPUTED_VALUE"""),TRUE)</f>
        <v>1</v>
      </c>
      <c r="P65" s="34"/>
      <c r="Q65" s="34" t="b">
        <f ca="1">IFERROR(__xludf.DUMMYFUNCTION("""COMPUTED_VALUE"""),TRUE)</f>
        <v>1</v>
      </c>
      <c r="R65" s="34"/>
      <c r="S65" s="34" t="b">
        <f ca="1">IFERROR(__xludf.DUMMYFUNCTION("""COMPUTED_VALUE"""),TRUE)</f>
        <v>1</v>
      </c>
      <c r="T65" s="34"/>
      <c r="U65" s="34"/>
      <c r="V65" s="34"/>
      <c r="W65" s="35"/>
      <c r="X65" s="59"/>
      <c r="Y65" s="91" t="s">
        <v>61</v>
      </c>
      <c r="Z65" s="37">
        <f ca="1">IFERROR(__xludf.DUMMYFUNCTION("ArrayFormula(mod(COUNTUNIQUE($C$3:C65),2))"),1)</f>
        <v>1</v>
      </c>
    </row>
    <row r="66" spans="1:26" ht="56">
      <c r="A66" s="29">
        <f ca="1">IFERROR(__xludf.DUMMYFUNCTION("""COMPUTED_VALUE"""),4)</f>
        <v>4</v>
      </c>
      <c r="B66" s="29">
        <f ca="1">IFERROR(__xludf.DUMMYFUNCTION("""COMPUTED_VALUE"""),5)</f>
        <v>5</v>
      </c>
      <c r="C66" s="30" t="str">
        <f ca="1">IFERROR(__xludf.DUMMYFUNCTION("""COMPUTED_VALUE"""),"Creating media – Photo editing")</f>
        <v>Creating media – Photo editing</v>
      </c>
      <c r="D66" s="29">
        <f ca="1">IFERROR(__xludf.DUMMYFUNCTION("""COMPUTED_VALUE"""),4)</f>
        <v>4</v>
      </c>
      <c r="E66" s="30" t="str">
        <f ca="1">IFERROR(__xludf.DUMMYFUNCTION("""COMPUTED_VALUE"""),"-To explain that images can be combined")</f>
        <v>-To explain that images can be combined</v>
      </c>
      <c r="F66" s="31" t="str">
        <f ca="1">IFERROR(__xludf.DUMMYFUNCTION("""COMPUTED_VALUE""")," -I can experiment with tools to select and copy part of an image
- I can explain why photos might be edited
- I can use a range of tools to copy between images")</f>
        <v xml:space="preserve"> -I can experiment with tools to select and copy part of an image
- I can explain why photos might be edited
- I can use a range of tools to copy between images</v>
      </c>
      <c r="G66" s="32"/>
      <c r="H66" s="34"/>
      <c r="I66" s="34"/>
      <c r="J66" s="34"/>
      <c r="K66" s="34"/>
      <c r="L66" s="34" t="b">
        <f ca="1">IFERROR(__xludf.DUMMYFUNCTION("""COMPUTED_VALUE"""),TRUE)</f>
        <v>1</v>
      </c>
      <c r="M66" s="35" t="b">
        <f ca="1">IFERROR(__xludf.DUMMYFUNCTION("""COMPUTED_VALUE"""),TRUE)</f>
        <v>1</v>
      </c>
      <c r="N66" s="32"/>
      <c r="O66" s="34" t="b">
        <f ca="1">IFERROR(__xludf.DUMMYFUNCTION("""COMPUTED_VALUE"""),TRUE)</f>
        <v>1</v>
      </c>
      <c r="P66" s="34"/>
      <c r="Q66" s="34"/>
      <c r="R66" s="34"/>
      <c r="S66" s="34" t="b">
        <f ca="1">IFERROR(__xludf.DUMMYFUNCTION("""COMPUTED_VALUE"""),TRUE)</f>
        <v>1</v>
      </c>
      <c r="T66" s="34"/>
      <c r="U66" s="34"/>
      <c r="V66" s="34"/>
      <c r="W66" s="35"/>
      <c r="X66" s="59"/>
      <c r="Y66" s="91" t="s">
        <v>61</v>
      </c>
      <c r="Z66" s="37">
        <f ca="1">IFERROR(__xludf.DUMMYFUNCTION("ArrayFormula(mod(COUNTUNIQUE($C$3:C66),2))"),1)</f>
        <v>1</v>
      </c>
    </row>
    <row r="67" spans="1:26" ht="56">
      <c r="A67" s="29">
        <f ca="1">IFERROR(__xludf.DUMMYFUNCTION("""COMPUTED_VALUE"""),4)</f>
        <v>4</v>
      </c>
      <c r="B67" s="29">
        <f ca="1">IFERROR(__xludf.DUMMYFUNCTION("""COMPUTED_VALUE"""),5)</f>
        <v>5</v>
      </c>
      <c r="C67" s="30" t="str">
        <f ca="1">IFERROR(__xludf.DUMMYFUNCTION("""COMPUTED_VALUE"""),"Creating media – Photo editing")</f>
        <v>Creating media – Photo editing</v>
      </c>
      <c r="D67" s="29">
        <f ca="1">IFERROR(__xludf.DUMMYFUNCTION("""COMPUTED_VALUE"""),5)</f>
        <v>5</v>
      </c>
      <c r="E67" s="30" t="str">
        <f ca="1">IFERROR(__xludf.DUMMYFUNCTION("""COMPUTED_VALUE"""),"-To combine images for a purpose")</f>
        <v>-To combine images for a purpose</v>
      </c>
      <c r="F67" s="31" t="str">
        <f ca="1">IFERROR(__xludf.DUMMYFUNCTION("""COMPUTED_VALUE""")," -I can choose suitable images for my project
- I can create a project that is a combination of other images
- I can describe the image I want to create")</f>
        <v xml:space="preserve"> -I can choose suitable images for my project
- I can create a project that is a combination of other images
- I can describe the image I want to create</v>
      </c>
      <c r="G67" s="32"/>
      <c r="H67" s="34"/>
      <c r="I67" s="34"/>
      <c r="J67" s="34"/>
      <c r="K67" s="34"/>
      <c r="L67" s="34" t="b">
        <f ca="1">IFERROR(__xludf.DUMMYFUNCTION("""COMPUTED_VALUE"""),TRUE)</f>
        <v>1</v>
      </c>
      <c r="M67" s="35" t="b">
        <f ca="1">IFERROR(__xludf.DUMMYFUNCTION("""COMPUTED_VALUE"""),TRUE)</f>
        <v>1</v>
      </c>
      <c r="N67" s="32"/>
      <c r="O67" s="34" t="b">
        <f ca="1">IFERROR(__xludf.DUMMYFUNCTION("""COMPUTED_VALUE"""),TRUE)</f>
        <v>1</v>
      </c>
      <c r="P67" s="34"/>
      <c r="Q67" s="34"/>
      <c r="R67" s="34"/>
      <c r="S67" s="34" t="b">
        <f ca="1">IFERROR(__xludf.DUMMYFUNCTION("""COMPUTED_VALUE"""),TRUE)</f>
        <v>1</v>
      </c>
      <c r="T67" s="34"/>
      <c r="U67" s="34"/>
      <c r="V67" s="34"/>
      <c r="W67" s="35" t="b">
        <f ca="1">IFERROR(__xludf.DUMMYFUNCTION("""COMPUTED_VALUE"""),TRUE)</f>
        <v>1</v>
      </c>
      <c r="X67" s="59"/>
      <c r="Y67" s="91" t="s">
        <v>61</v>
      </c>
      <c r="Z67" s="37">
        <f ca="1">IFERROR(__xludf.DUMMYFUNCTION("ArrayFormula(mod(COUNTUNIQUE($C$3:C67),2))"),1)</f>
        <v>1</v>
      </c>
    </row>
    <row r="68" spans="1:26" ht="56">
      <c r="A68" s="38">
        <f ca="1">IFERROR(__xludf.DUMMYFUNCTION("""COMPUTED_VALUE"""),4)</f>
        <v>4</v>
      </c>
      <c r="B68" s="38">
        <f ca="1">IFERROR(__xludf.DUMMYFUNCTION("""COMPUTED_VALUE"""),5)</f>
        <v>5</v>
      </c>
      <c r="C68" s="39" t="str">
        <f ca="1">IFERROR(__xludf.DUMMYFUNCTION("""COMPUTED_VALUE"""),"Creating media – Photo editing")</f>
        <v>Creating media – Photo editing</v>
      </c>
      <c r="D68" s="38">
        <f ca="1">IFERROR(__xludf.DUMMYFUNCTION("""COMPUTED_VALUE"""),6)</f>
        <v>6</v>
      </c>
      <c r="E68" s="39" t="str">
        <f ca="1">IFERROR(__xludf.DUMMYFUNCTION("""COMPUTED_VALUE"""),"-To evaluate how changes can improve an image")</f>
        <v>-To evaluate how changes can improve an image</v>
      </c>
      <c r="F68" s="40" t="str">
        <f ca="1">IFERROR(__xludf.DUMMYFUNCTION("""COMPUTED_VALUE""")," -I can combine text and my image to complete the project
- I can review images against a given criteria
- I can use feedback to guide making changes")</f>
        <v xml:space="preserve"> -I can combine text and my image to complete the project
- I can review images against a given criteria
- I can use feedback to guide making changes</v>
      </c>
      <c r="G68" s="41"/>
      <c r="H68" s="43"/>
      <c r="I68" s="43"/>
      <c r="J68" s="43"/>
      <c r="K68" s="43"/>
      <c r="L68" s="43" t="b">
        <f ca="1">IFERROR(__xludf.DUMMYFUNCTION("""COMPUTED_VALUE"""),TRUE)</f>
        <v>1</v>
      </c>
      <c r="M68" s="44" t="b">
        <f ca="1">IFERROR(__xludf.DUMMYFUNCTION("""COMPUTED_VALUE"""),TRUE)</f>
        <v>1</v>
      </c>
      <c r="N68" s="41"/>
      <c r="O68" s="43" t="b">
        <f ca="1">IFERROR(__xludf.DUMMYFUNCTION("""COMPUTED_VALUE"""),TRUE)</f>
        <v>1</v>
      </c>
      <c r="P68" s="43"/>
      <c r="Q68" s="43" t="b">
        <f ca="1">IFERROR(__xludf.DUMMYFUNCTION("""COMPUTED_VALUE"""),TRUE)</f>
        <v>1</v>
      </c>
      <c r="R68" s="43"/>
      <c r="S68" s="43" t="b">
        <f ca="1">IFERROR(__xludf.DUMMYFUNCTION("""COMPUTED_VALUE"""),TRUE)</f>
        <v>1</v>
      </c>
      <c r="T68" s="43"/>
      <c r="U68" s="43"/>
      <c r="V68" s="43"/>
      <c r="W68" s="44"/>
      <c r="X68" s="64"/>
      <c r="Y68" s="92" t="s">
        <v>61</v>
      </c>
      <c r="Z68" s="46">
        <f ca="1">IFERROR(__xludf.DUMMYFUNCTION("ArrayFormula(mod(COUNTUNIQUE($C$3:C68),2))"),1)</f>
        <v>1</v>
      </c>
    </row>
    <row r="69" spans="1:26" ht="70">
      <c r="A69" s="47">
        <f ca="1">IFERROR(__xludf.DUMMYFUNCTION("""COMPUTED_VALUE"""),4)</f>
        <v>4</v>
      </c>
      <c r="B69" s="47">
        <f ca="1">IFERROR(__xludf.DUMMYFUNCTION("""COMPUTED_VALUE"""),6)</f>
        <v>6</v>
      </c>
      <c r="C69" s="48" t="str">
        <f ca="1">IFERROR(__xludf.DUMMYFUNCTION("""COMPUTED_VALUE"""),"Programming B – Repetition in games")</f>
        <v>Programming B – Repetition in games</v>
      </c>
      <c r="D69" s="47">
        <f ca="1">IFERROR(__xludf.DUMMYFUNCTION("""COMPUTED_VALUE"""),1)</f>
        <v>1</v>
      </c>
      <c r="E69" s="48" t="str">
        <f ca="1">IFERROR(__xludf.DUMMYFUNCTION("""COMPUTED_VALUE"""),"-To develop the use of count-controlled loops in a different programming environment")</f>
        <v>-To develop the use of count-controlled loops in a different programming environment</v>
      </c>
      <c r="F69" s="49" t="str">
        <f ca="1">IFERROR(__xludf.DUMMYFUNCTION("""COMPUTED_VALUE""")," -I can list an everyday task as a set of instructions including repetition
- I can modify a snippet of code to create a given outcome
- I can predict the outcome of a snippet of code")</f>
        <v xml:space="preserve"> -I can list an everyday task as a set of instructions including repetition
- I can modify a snippet of code to create a given outcome
- I can predict the outcome of a snippet of code</v>
      </c>
      <c r="G69" s="50" t="b">
        <f ca="1">IFERROR(__xludf.DUMMYFUNCTION("""COMPUTED_VALUE"""),TRUE)</f>
        <v>1</v>
      </c>
      <c r="H69" s="51" t="b">
        <f ca="1">IFERROR(__xludf.DUMMYFUNCTION("""COMPUTED_VALUE"""),TRUE)</f>
        <v>1</v>
      </c>
      <c r="I69" s="51" t="b">
        <f ca="1">IFERROR(__xludf.DUMMYFUNCTION("""COMPUTED_VALUE"""),TRUE)</f>
        <v>1</v>
      </c>
      <c r="J69" s="51"/>
      <c r="K69" s="51"/>
      <c r="L69" s="51"/>
      <c r="M69" s="53"/>
      <c r="N69" s="50"/>
      <c r="O69" s="51"/>
      <c r="P69" s="51"/>
      <c r="Q69" s="51" t="b">
        <f ca="1">IFERROR(__xludf.DUMMYFUNCTION("""COMPUTED_VALUE"""),TRUE)</f>
        <v>1</v>
      </c>
      <c r="R69" s="51"/>
      <c r="S69" s="51"/>
      <c r="T69" s="51"/>
      <c r="U69" s="51"/>
      <c r="V69" s="51" t="b">
        <f ca="1">IFERROR(__xludf.DUMMYFUNCTION("""COMPUTED_VALUE"""),TRUE)</f>
        <v>1</v>
      </c>
      <c r="W69" s="53"/>
      <c r="X69" s="71"/>
      <c r="Y69" s="94"/>
      <c r="Z69" s="55">
        <f ca="1">IFERROR(__xludf.DUMMYFUNCTION("ArrayFormula(mod(COUNTUNIQUE($C$3:C69),2))"),0)</f>
        <v>0</v>
      </c>
    </row>
    <row r="70" spans="1:26" ht="70">
      <c r="A70" s="29">
        <f ca="1">IFERROR(__xludf.DUMMYFUNCTION("""COMPUTED_VALUE"""),4)</f>
        <v>4</v>
      </c>
      <c r="B70" s="29">
        <f ca="1">IFERROR(__xludf.DUMMYFUNCTION("""COMPUTED_VALUE"""),6)</f>
        <v>6</v>
      </c>
      <c r="C70" s="30" t="str">
        <f ca="1">IFERROR(__xludf.DUMMYFUNCTION("""COMPUTED_VALUE"""),"Programming B – Repetition in games")</f>
        <v>Programming B – Repetition in games</v>
      </c>
      <c r="D70" s="29">
        <f ca="1">IFERROR(__xludf.DUMMYFUNCTION("""COMPUTED_VALUE"""),2)</f>
        <v>2</v>
      </c>
      <c r="E70" s="30" t="str">
        <f ca="1">IFERROR(__xludf.DUMMYFUNCTION("""COMPUTED_VALUE"""),"-To explain that in programming there are infinite loops and count controlled loops")</f>
        <v>-To explain that in programming there are infinite loops and count controlled loops</v>
      </c>
      <c r="F70" s="31" t="str">
        <f ca="1">IFERROR(__xludf.DUMMYFUNCTION("""COMPUTED_VALUE""")," -I can choose when to use a count-controlled and an infinite loop
- I can modify loops to produce a given outcome
- I can recognise that some programming languages enable more than one process to be run at once")</f>
        <v xml:space="preserve"> -I can choose when to use a count-controlled and an infinite loop
- I can modify loops to produce a given outcome
- I can recognise that some programming languages enable more than one process to be run at once</v>
      </c>
      <c r="G70" s="56" t="b">
        <f ca="1">IFERROR(__xludf.DUMMYFUNCTION("""COMPUTED_VALUE"""),TRUE)</f>
        <v>1</v>
      </c>
      <c r="H70" s="57" t="b">
        <f ca="1">IFERROR(__xludf.DUMMYFUNCTION("""COMPUTED_VALUE"""),TRUE)</f>
        <v>1</v>
      </c>
      <c r="I70" s="57" t="b">
        <f ca="1">IFERROR(__xludf.DUMMYFUNCTION("""COMPUTED_VALUE"""),TRUE)</f>
        <v>1</v>
      </c>
      <c r="J70" s="57"/>
      <c r="K70" s="57"/>
      <c r="L70" s="57"/>
      <c r="M70" s="58"/>
      <c r="N70" s="56" t="b">
        <f ca="1">IFERROR(__xludf.DUMMYFUNCTION("""COMPUTED_VALUE"""),TRUE)</f>
        <v>1</v>
      </c>
      <c r="O70" s="57"/>
      <c r="P70" s="57"/>
      <c r="Q70" s="57"/>
      <c r="R70" s="57"/>
      <c r="S70" s="57"/>
      <c r="T70" s="57"/>
      <c r="U70" s="57"/>
      <c r="V70" s="57" t="b">
        <f ca="1">IFERROR(__xludf.DUMMYFUNCTION("""COMPUTED_VALUE"""),TRUE)</f>
        <v>1</v>
      </c>
      <c r="W70" s="58"/>
      <c r="X70" s="72"/>
      <c r="Y70" s="95"/>
      <c r="Z70" s="60">
        <f ca="1">IFERROR(__xludf.DUMMYFUNCTION("ArrayFormula(mod(COUNTUNIQUE($C$3:C70),2))"),0)</f>
        <v>0</v>
      </c>
    </row>
    <row r="71" spans="1:26" ht="84">
      <c r="A71" s="29">
        <f ca="1">IFERROR(__xludf.DUMMYFUNCTION("""COMPUTED_VALUE"""),4)</f>
        <v>4</v>
      </c>
      <c r="B71" s="29">
        <f ca="1">IFERROR(__xludf.DUMMYFUNCTION("""COMPUTED_VALUE"""),6)</f>
        <v>6</v>
      </c>
      <c r="C71" s="30" t="str">
        <f ca="1">IFERROR(__xludf.DUMMYFUNCTION("""COMPUTED_VALUE"""),"Programming B – Repetition in games")</f>
        <v>Programming B – Repetition in games</v>
      </c>
      <c r="D71" s="29">
        <f ca="1">IFERROR(__xludf.DUMMYFUNCTION("""COMPUTED_VALUE"""),3)</f>
        <v>3</v>
      </c>
      <c r="E71" s="30" t="str">
        <f ca="1">IFERROR(__xludf.DUMMYFUNCTION("""COMPUTED_VALUE"""),"-To develop a design that includes two or more loops which run at the same time")</f>
        <v>-To develop a design that includes two or more loops which run at the same time</v>
      </c>
      <c r="F71" s="31" t="str">
        <f ca="1">IFERROR(__xludf.DUMMYFUNCTION("""COMPUTED_VALUE""")," -I can choose which action will be repeated for each object
- I can evaluate the effectiveness of the repeated sequences used in my program
- I can explain what the outcome of the repeated action should be")</f>
        <v xml:space="preserve"> -I can choose which action will be repeated for each object
- I can evaluate the effectiveness of the repeated sequences used in my program
- I can explain what the outcome of the repeated action should be</v>
      </c>
      <c r="G71" s="56" t="b">
        <f ca="1">IFERROR(__xludf.DUMMYFUNCTION("""COMPUTED_VALUE"""),TRUE)</f>
        <v>1</v>
      </c>
      <c r="H71" s="57" t="b">
        <f ca="1">IFERROR(__xludf.DUMMYFUNCTION("""COMPUTED_VALUE"""),TRUE)</f>
        <v>1</v>
      </c>
      <c r="I71" s="57" t="b">
        <f ca="1">IFERROR(__xludf.DUMMYFUNCTION("""COMPUTED_VALUE"""),TRUE)</f>
        <v>1</v>
      </c>
      <c r="J71" s="57"/>
      <c r="K71" s="57"/>
      <c r="L71" s="57"/>
      <c r="M71" s="58"/>
      <c r="N71" s="56"/>
      <c r="O71" s="57"/>
      <c r="P71" s="57"/>
      <c r="Q71" s="57" t="b">
        <f ca="1">IFERROR(__xludf.DUMMYFUNCTION("""COMPUTED_VALUE"""),TRUE)</f>
        <v>1</v>
      </c>
      <c r="R71" s="57"/>
      <c r="S71" s="57"/>
      <c r="T71" s="57"/>
      <c r="U71" s="57"/>
      <c r="V71" s="57" t="b">
        <f ca="1">IFERROR(__xludf.DUMMYFUNCTION("""COMPUTED_VALUE"""),TRUE)</f>
        <v>1</v>
      </c>
      <c r="W71" s="58"/>
      <c r="X71" s="72"/>
      <c r="Y71" s="95"/>
      <c r="Z71" s="60">
        <f ca="1">IFERROR(__xludf.DUMMYFUNCTION("ArrayFormula(mod(COUNTUNIQUE($C$3:C71),2))"),0)</f>
        <v>0</v>
      </c>
    </row>
    <row r="72" spans="1:26" ht="42">
      <c r="A72" s="29">
        <f ca="1">IFERROR(__xludf.DUMMYFUNCTION("""COMPUTED_VALUE"""),4)</f>
        <v>4</v>
      </c>
      <c r="B72" s="29">
        <f ca="1">IFERROR(__xludf.DUMMYFUNCTION("""COMPUTED_VALUE"""),6)</f>
        <v>6</v>
      </c>
      <c r="C72" s="30" t="str">
        <f ca="1">IFERROR(__xludf.DUMMYFUNCTION("""COMPUTED_VALUE"""),"Programming B – Repetition in games")</f>
        <v>Programming B – Repetition in games</v>
      </c>
      <c r="D72" s="29">
        <f ca="1">IFERROR(__xludf.DUMMYFUNCTION("""COMPUTED_VALUE"""),4)</f>
        <v>4</v>
      </c>
      <c r="E72" s="30" t="str">
        <f ca="1">IFERROR(__xludf.DUMMYFUNCTION("""COMPUTED_VALUE"""),"-To modify an infinite loop in a given program")</f>
        <v>-To modify an infinite loop in a given program</v>
      </c>
      <c r="F72" s="31" t="str">
        <f ca="1">IFERROR(__xludf.DUMMYFUNCTION("""COMPUTED_VALUE""")," -I can explain the effect of my changes
- I can identify which parts of a loop can be changed
- I can re-use existing code snippets on new sprites")</f>
        <v xml:space="preserve"> -I can explain the effect of my changes
- I can identify which parts of a loop can be changed
- I can re-use existing code snippets on new sprites</v>
      </c>
      <c r="G72" s="56" t="b">
        <f ca="1">IFERROR(__xludf.DUMMYFUNCTION("""COMPUTED_VALUE"""),TRUE)</f>
        <v>1</v>
      </c>
      <c r="H72" s="57" t="b">
        <f ca="1">IFERROR(__xludf.DUMMYFUNCTION("""COMPUTED_VALUE"""),TRUE)</f>
        <v>1</v>
      </c>
      <c r="I72" s="57" t="b">
        <f ca="1">IFERROR(__xludf.DUMMYFUNCTION("""COMPUTED_VALUE"""),TRUE)</f>
        <v>1</v>
      </c>
      <c r="J72" s="57"/>
      <c r="K72" s="57"/>
      <c r="L72" s="57"/>
      <c r="M72" s="58"/>
      <c r="N72" s="56"/>
      <c r="O72" s="57"/>
      <c r="P72" s="57"/>
      <c r="Q72" s="57"/>
      <c r="R72" s="57"/>
      <c r="S72" s="57"/>
      <c r="T72" s="57"/>
      <c r="U72" s="57"/>
      <c r="V72" s="57" t="b">
        <f ca="1">IFERROR(__xludf.DUMMYFUNCTION("""COMPUTED_VALUE"""),TRUE)</f>
        <v>1</v>
      </c>
      <c r="W72" s="58"/>
      <c r="X72" s="72"/>
      <c r="Y72" s="95"/>
      <c r="Z72" s="60">
        <f ca="1">IFERROR(__xludf.DUMMYFUNCTION("ArrayFormula(mod(COUNTUNIQUE($C$3:C72),2))"),0)</f>
        <v>0</v>
      </c>
    </row>
    <row r="73" spans="1:26" ht="70">
      <c r="A73" s="29">
        <f ca="1">IFERROR(__xludf.DUMMYFUNCTION("""COMPUTED_VALUE"""),4)</f>
        <v>4</v>
      </c>
      <c r="B73" s="29">
        <f ca="1">IFERROR(__xludf.DUMMYFUNCTION("""COMPUTED_VALUE"""),6)</f>
        <v>6</v>
      </c>
      <c r="C73" s="30" t="str">
        <f ca="1">IFERROR(__xludf.DUMMYFUNCTION("""COMPUTED_VALUE"""),"Programming B – Repetition in games")</f>
        <v>Programming B – Repetition in games</v>
      </c>
      <c r="D73" s="29">
        <f ca="1">IFERROR(__xludf.DUMMYFUNCTION("""COMPUTED_VALUE"""),5)</f>
        <v>5</v>
      </c>
      <c r="E73" s="30" t="str">
        <f ca="1">IFERROR(__xludf.DUMMYFUNCTION("""COMPUTED_VALUE"""),"-To design a project that includes repetition")</f>
        <v>-To design a project that includes repetition</v>
      </c>
      <c r="F73" s="31" t="str">
        <f ca="1">IFERROR(__xludf.DUMMYFUNCTION("""COMPUTED_VALUE""")," -I can develop my own design explaining what my project will do
- I can evaluate the use of repetition in a project
- I can select key parts of a given project to use in my own design")</f>
        <v xml:space="preserve"> -I can develop my own design explaining what my project will do
- I can evaluate the use of repetition in a project
- I can select key parts of a given project to use in my own design</v>
      </c>
      <c r="G73" s="56" t="b">
        <f ca="1">IFERROR(__xludf.DUMMYFUNCTION("""COMPUTED_VALUE"""),TRUE)</f>
        <v>1</v>
      </c>
      <c r="H73" s="57" t="b">
        <f ca="1">IFERROR(__xludf.DUMMYFUNCTION("""COMPUTED_VALUE"""),TRUE)</f>
        <v>1</v>
      </c>
      <c r="I73" s="57" t="b">
        <f ca="1">IFERROR(__xludf.DUMMYFUNCTION("""COMPUTED_VALUE"""),TRUE)</f>
        <v>1</v>
      </c>
      <c r="J73" s="57"/>
      <c r="K73" s="57"/>
      <c r="L73" s="57"/>
      <c r="M73" s="58"/>
      <c r="N73" s="56"/>
      <c r="O73" s="57"/>
      <c r="P73" s="57"/>
      <c r="Q73" s="57" t="b">
        <f ca="1">IFERROR(__xludf.DUMMYFUNCTION("""COMPUTED_VALUE"""),TRUE)</f>
        <v>1</v>
      </c>
      <c r="R73" s="57"/>
      <c r="S73" s="57"/>
      <c r="T73" s="57"/>
      <c r="U73" s="57"/>
      <c r="V73" s="57" t="b">
        <f ca="1">IFERROR(__xludf.DUMMYFUNCTION("""COMPUTED_VALUE"""),TRUE)</f>
        <v>1</v>
      </c>
      <c r="W73" s="58"/>
      <c r="X73" s="72"/>
      <c r="Y73" s="95"/>
      <c r="Z73" s="60">
        <f ca="1">IFERROR(__xludf.DUMMYFUNCTION("ArrayFormula(mod(COUNTUNIQUE($C$3:C73),2))"),0)</f>
        <v>0</v>
      </c>
    </row>
    <row r="74" spans="1:26" ht="56">
      <c r="A74" s="38">
        <f ca="1">IFERROR(__xludf.DUMMYFUNCTION("""COMPUTED_VALUE"""),4)</f>
        <v>4</v>
      </c>
      <c r="B74" s="38">
        <f ca="1">IFERROR(__xludf.DUMMYFUNCTION("""COMPUTED_VALUE"""),6)</f>
        <v>6</v>
      </c>
      <c r="C74" s="39" t="str">
        <f ca="1">IFERROR(__xludf.DUMMYFUNCTION("""COMPUTED_VALUE"""),"Programming B – Repetition in games")</f>
        <v>Programming B – Repetition in games</v>
      </c>
      <c r="D74" s="38">
        <f ca="1">IFERROR(__xludf.DUMMYFUNCTION("""COMPUTED_VALUE"""),6)</f>
        <v>6</v>
      </c>
      <c r="E74" s="39" t="str">
        <f ca="1">IFERROR(__xludf.DUMMYFUNCTION("""COMPUTED_VALUE"""),"-To create a project that includes repetition")</f>
        <v>-To create a project that includes repetition</v>
      </c>
      <c r="F74" s="40" t="str">
        <f ca="1">IFERROR(__xludf.DUMMYFUNCTION("""COMPUTED_VALUE""")," -I can build a program that follows my design
- I can evaluate the steps I followed when building my project
- I can refine the algorithm in my design")</f>
        <v xml:space="preserve"> -I can build a program that follows my design
- I can evaluate the steps I followed when building my project
- I can refine the algorithm in my design</v>
      </c>
      <c r="G74" s="61" t="b">
        <f ca="1">IFERROR(__xludf.DUMMYFUNCTION("""COMPUTED_VALUE"""),TRUE)</f>
        <v>1</v>
      </c>
      <c r="H74" s="62" t="b">
        <f ca="1">IFERROR(__xludf.DUMMYFUNCTION("""COMPUTED_VALUE"""),TRUE)</f>
        <v>1</v>
      </c>
      <c r="I74" s="62" t="b">
        <f ca="1">IFERROR(__xludf.DUMMYFUNCTION("""COMPUTED_VALUE"""),TRUE)</f>
        <v>1</v>
      </c>
      <c r="J74" s="62"/>
      <c r="K74" s="62"/>
      <c r="L74" s="62"/>
      <c r="M74" s="63"/>
      <c r="N74" s="61"/>
      <c r="O74" s="62"/>
      <c r="P74" s="62"/>
      <c r="Q74" s="62" t="b">
        <f ca="1">IFERROR(__xludf.DUMMYFUNCTION("""COMPUTED_VALUE"""),TRUE)</f>
        <v>1</v>
      </c>
      <c r="R74" s="62"/>
      <c r="S74" s="62"/>
      <c r="T74" s="62"/>
      <c r="U74" s="62"/>
      <c r="V74" s="62" t="b">
        <f ca="1">IFERROR(__xludf.DUMMYFUNCTION("""COMPUTED_VALUE"""),TRUE)</f>
        <v>1</v>
      </c>
      <c r="W74" s="63"/>
      <c r="X74" s="73"/>
      <c r="Y74" s="96"/>
      <c r="Z74" s="65">
        <f ca="1">IFERROR(__xludf.DUMMYFUNCTION("ArrayFormula(mod(COUNTUNIQUE($C$3:C74),2))"),0)</f>
        <v>0</v>
      </c>
    </row>
    <row r="75" spans="1:26" ht="84">
      <c r="A75" s="47">
        <f ca="1">IFERROR(__xludf.DUMMYFUNCTION("""COMPUTED_VALUE"""),5)</f>
        <v>5</v>
      </c>
      <c r="B75" s="47">
        <f ca="1">IFERROR(__xludf.DUMMYFUNCTION("""COMPUTED_VALUE"""),1)</f>
        <v>1</v>
      </c>
      <c r="C75" s="48" t="str">
        <f ca="1">IFERROR(__xludf.DUMMYFUNCTION("""COMPUTED_VALUE"""),"Computing systems and networks - Systems and searching")</f>
        <v>Computing systems and networks - Systems and searching</v>
      </c>
      <c r="D75" s="47">
        <f ca="1">IFERROR(__xludf.DUMMYFUNCTION("""COMPUTED_VALUE"""),1)</f>
        <v>1</v>
      </c>
      <c r="E75" s="48" t="str">
        <f ca="1">IFERROR(__xludf.DUMMYFUNCTION("""COMPUTED_VALUE"""),"-To explain that computers can be connected together to form systems")</f>
        <v>-To explain that computers can be connected together to form systems</v>
      </c>
      <c r="F75" s="49" t="str">
        <f ca="1">IFERROR(__xludf.DUMMYFUNCTION("""COMPUTED_VALUE""")," -I can describe that a computer system features inputs, processes, and outputs
- I can explain that computer systems communicate with other devices
- I can explain that systems are built using a number of parts")</f>
        <v xml:space="preserve"> -I can describe that a computer system features inputs, processes, and outputs
- I can explain that computer systems communicate with other devices
- I can explain that systems are built using a number of parts</v>
      </c>
      <c r="G75" s="74" t="b">
        <f ca="1">IFERROR(__xludf.DUMMYFUNCTION("""COMPUTED_VALUE"""),TRUE)</f>
        <v>1</v>
      </c>
      <c r="H75" s="52" t="b">
        <f ca="1">IFERROR(__xludf.DUMMYFUNCTION("""COMPUTED_VALUE"""),TRUE)</f>
        <v>1</v>
      </c>
      <c r="I75" s="67"/>
      <c r="J75" s="52" t="b">
        <f ca="1">IFERROR(__xludf.DUMMYFUNCTION("""COMPUTED_VALUE"""),TRUE)</f>
        <v>1</v>
      </c>
      <c r="K75" s="67"/>
      <c r="L75" s="52" t="b">
        <f ca="1">IFERROR(__xludf.DUMMYFUNCTION("""COMPUTED_VALUE"""),TRUE)</f>
        <v>1</v>
      </c>
      <c r="M75" s="77"/>
      <c r="N75" s="66"/>
      <c r="O75" s="67"/>
      <c r="P75" s="52" t="b">
        <f ca="1">IFERROR(__xludf.DUMMYFUNCTION("""COMPUTED_VALUE"""),TRUE)</f>
        <v>1</v>
      </c>
      <c r="Q75" s="67"/>
      <c r="R75" s="67"/>
      <c r="S75" s="67"/>
      <c r="T75" s="67"/>
      <c r="U75" s="67"/>
      <c r="V75" s="67"/>
      <c r="W75" s="68"/>
      <c r="X75" s="54"/>
      <c r="Y75" s="90" t="s">
        <v>55</v>
      </c>
      <c r="Z75" s="70">
        <f ca="1">IFERROR(__xludf.DUMMYFUNCTION("ArrayFormula(mod(COUNTUNIQUE($C$3:C75),2))"),1)</f>
        <v>1</v>
      </c>
    </row>
    <row r="76" spans="1:26" ht="84">
      <c r="A76" s="29">
        <f ca="1">IFERROR(__xludf.DUMMYFUNCTION("""COMPUTED_VALUE"""),5)</f>
        <v>5</v>
      </c>
      <c r="B76" s="29">
        <f ca="1">IFERROR(__xludf.DUMMYFUNCTION("""COMPUTED_VALUE"""),1)</f>
        <v>1</v>
      </c>
      <c r="C76" s="30" t="str">
        <f ca="1">IFERROR(__xludf.DUMMYFUNCTION("""COMPUTED_VALUE"""),"Computing systems and networks - Systems and searching")</f>
        <v>Computing systems and networks - Systems and searching</v>
      </c>
      <c r="D76" s="29">
        <f ca="1">IFERROR(__xludf.DUMMYFUNCTION("""COMPUTED_VALUE"""),2)</f>
        <v>2</v>
      </c>
      <c r="E76" s="30" t="str">
        <f ca="1">IFERROR(__xludf.DUMMYFUNCTION("""COMPUTED_VALUE"""),"-To recognise the role of computer systems in our lives")</f>
        <v>-To recognise the role of computer systems in our lives</v>
      </c>
      <c r="F76" s="31" t="str">
        <f ca="1">IFERROR(__xludf.DUMMYFUNCTION("""COMPUTED_VALUE""")," -I can explain the benefits of a given computer system
- I can identify tasks that are managed by computer systems
- I can identify the human elements of a computer system")</f>
        <v xml:space="preserve"> -I can explain the benefits of a given computer system
- I can identify tasks that are managed by computer systems
- I can identify the human elements of a computer system</v>
      </c>
      <c r="G76" s="75" t="b">
        <f ca="1">IFERROR(__xludf.DUMMYFUNCTION("""COMPUTED_VALUE"""),TRUE)</f>
        <v>1</v>
      </c>
      <c r="H76" s="33" t="b">
        <f ca="1">IFERROR(__xludf.DUMMYFUNCTION("""COMPUTED_VALUE"""),TRUE)</f>
        <v>1</v>
      </c>
      <c r="I76" s="34"/>
      <c r="J76" s="33" t="b">
        <f ca="1">IFERROR(__xludf.DUMMYFUNCTION("""COMPUTED_VALUE"""),TRUE)</f>
        <v>1</v>
      </c>
      <c r="K76" s="34"/>
      <c r="L76" s="33" t="b">
        <f ca="1">IFERROR(__xludf.DUMMYFUNCTION("""COMPUTED_VALUE"""),TRUE)</f>
        <v>1</v>
      </c>
      <c r="M76" s="78"/>
      <c r="N76" s="32"/>
      <c r="O76" s="34"/>
      <c r="P76" s="33" t="b">
        <f ca="1">IFERROR(__xludf.DUMMYFUNCTION("""COMPUTED_VALUE"""),TRUE)</f>
        <v>1</v>
      </c>
      <c r="Q76" s="34"/>
      <c r="R76" s="34"/>
      <c r="S76" s="34"/>
      <c r="T76" s="33" t="b">
        <f ca="1">IFERROR(__xludf.DUMMYFUNCTION("""COMPUTED_VALUE"""),TRUE)</f>
        <v>1</v>
      </c>
      <c r="U76" s="34"/>
      <c r="V76" s="34"/>
      <c r="W76" s="35"/>
      <c r="X76" s="59"/>
      <c r="Y76" s="91" t="s">
        <v>55</v>
      </c>
      <c r="Z76" s="37">
        <f ca="1">IFERROR(__xludf.DUMMYFUNCTION("ArrayFormula(mod(COUNTUNIQUE($C$3:C76),2))"),1)</f>
        <v>1</v>
      </c>
    </row>
    <row r="77" spans="1:26" ht="56">
      <c r="A77" s="29">
        <f ca="1">IFERROR(__xludf.DUMMYFUNCTION("""COMPUTED_VALUE"""),5)</f>
        <v>5</v>
      </c>
      <c r="B77" s="29">
        <f ca="1">IFERROR(__xludf.DUMMYFUNCTION("""COMPUTED_VALUE"""),1)</f>
        <v>1</v>
      </c>
      <c r="C77" s="30" t="str">
        <f ca="1">IFERROR(__xludf.DUMMYFUNCTION("""COMPUTED_VALUE"""),"Computing systems and networks - Systems and searching")</f>
        <v>Computing systems and networks - Systems and searching</v>
      </c>
      <c r="D77" s="29">
        <f ca="1">IFERROR(__xludf.DUMMYFUNCTION("""COMPUTED_VALUE"""),3)</f>
        <v>3</v>
      </c>
      <c r="E77" s="30" t="str">
        <f ca="1">IFERROR(__xludf.DUMMYFUNCTION("""COMPUTED_VALUE"""),"-To experiment with search engines")</f>
        <v>-To experiment with search engines</v>
      </c>
      <c r="F77" s="31" t="str">
        <f ca="1">IFERROR(__xludf.DUMMYFUNCTION("""COMPUTED_VALUE""")," -I can compare results from different search engines
- I can make use of a web search to find specific information
- I can refine my web search")</f>
        <v xml:space="preserve"> -I can compare results from different search engines
- I can make use of a web search to find specific information
- I can refine my web search</v>
      </c>
      <c r="G77" s="75" t="b">
        <f ca="1">IFERROR(__xludf.DUMMYFUNCTION("""COMPUTED_VALUE"""),TRUE)</f>
        <v>1</v>
      </c>
      <c r="H77" s="33" t="b">
        <f ca="1">IFERROR(__xludf.DUMMYFUNCTION("""COMPUTED_VALUE"""),TRUE)</f>
        <v>1</v>
      </c>
      <c r="I77" s="34"/>
      <c r="J77" s="33" t="b">
        <f ca="1">IFERROR(__xludf.DUMMYFUNCTION("""COMPUTED_VALUE"""),TRUE)</f>
        <v>1</v>
      </c>
      <c r="K77" s="34"/>
      <c r="L77" s="33" t="b">
        <f ca="1">IFERROR(__xludf.DUMMYFUNCTION("""COMPUTED_VALUE"""),TRUE)</f>
        <v>1</v>
      </c>
      <c r="M77" s="78"/>
      <c r="N77" s="32"/>
      <c r="O77" s="34"/>
      <c r="P77" s="34"/>
      <c r="Q77" s="34"/>
      <c r="R77" s="34"/>
      <c r="S77" s="34"/>
      <c r="T77" s="34"/>
      <c r="U77" s="33" t="b">
        <f ca="1">IFERROR(__xludf.DUMMYFUNCTION("""COMPUTED_VALUE"""),TRUE)</f>
        <v>1</v>
      </c>
      <c r="V77" s="34"/>
      <c r="W77" s="35"/>
      <c r="X77" s="59"/>
      <c r="Y77" s="91" t="s">
        <v>55</v>
      </c>
      <c r="Z77" s="37">
        <f ca="1">IFERROR(__xludf.DUMMYFUNCTION("ArrayFormula(mod(COUNTUNIQUE($C$3:C77),2))"),1)</f>
        <v>1</v>
      </c>
    </row>
    <row r="78" spans="1:26" ht="84">
      <c r="A78" s="29">
        <f ca="1">IFERROR(__xludf.DUMMYFUNCTION("""COMPUTED_VALUE"""),5)</f>
        <v>5</v>
      </c>
      <c r="B78" s="29">
        <f ca="1">IFERROR(__xludf.DUMMYFUNCTION("""COMPUTED_VALUE"""),1)</f>
        <v>1</v>
      </c>
      <c r="C78" s="30" t="str">
        <f ca="1">IFERROR(__xludf.DUMMYFUNCTION("""COMPUTED_VALUE"""),"Computing systems and networks - Systems and searching")</f>
        <v>Computing systems and networks - Systems and searching</v>
      </c>
      <c r="D78" s="29">
        <f ca="1">IFERROR(__xludf.DUMMYFUNCTION("""COMPUTED_VALUE"""),4)</f>
        <v>4</v>
      </c>
      <c r="E78" s="30" t="str">
        <f ca="1">IFERROR(__xludf.DUMMYFUNCTION("""COMPUTED_VALUE"""),"-To describe how search engines select results")</f>
        <v>-To describe how search engines select results</v>
      </c>
      <c r="F78" s="31" t="str">
        <f ca="1">IFERROR(__xludf.DUMMYFUNCTION("""COMPUTED_VALUE""")," -I can explain why we need tools to find things online
- I can recognise the role of web crawlers in creating an index
- I can relate a search term to the search engine’s index")</f>
        <v xml:space="preserve"> -I can explain why we need tools to find things online
- I can recognise the role of web crawlers in creating an index
- I can relate a search term to the search engine’s index</v>
      </c>
      <c r="G78" s="75" t="b">
        <f ca="1">IFERROR(__xludf.DUMMYFUNCTION("""COMPUTED_VALUE"""),TRUE)</f>
        <v>1</v>
      </c>
      <c r="H78" s="33" t="b">
        <f ca="1">IFERROR(__xludf.DUMMYFUNCTION("""COMPUTED_VALUE"""),TRUE)</f>
        <v>1</v>
      </c>
      <c r="I78" s="34"/>
      <c r="J78" s="33" t="b">
        <f ca="1">IFERROR(__xludf.DUMMYFUNCTION("""COMPUTED_VALUE"""),TRUE)</f>
        <v>1</v>
      </c>
      <c r="K78" s="34"/>
      <c r="L78" s="33" t="b">
        <f ca="1">IFERROR(__xludf.DUMMYFUNCTION("""COMPUTED_VALUE"""),TRUE)</f>
        <v>1</v>
      </c>
      <c r="M78" s="78"/>
      <c r="N78" s="32"/>
      <c r="O78" s="34"/>
      <c r="P78" s="34"/>
      <c r="Q78" s="34"/>
      <c r="R78" s="34"/>
      <c r="S78" s="34"/>
      <c r="T78" s="33" t="b">
        <f ca="1">IFERROR(__xludf.DUMMYFUNCTION("""COMPUTED_VALUE"""),TRUE)</f>
        <v>1</v>
      </c>
      <c r="U78" s="33" t="b">
        <f ca="1">IFERROR(__xludf.DUMMYFUNCTION("""COMPUTED_VALUE"""),TRUE)</f>
        <v>1</v>
      </c>
      <c r="V78" s="34"/>
      <c r="W78" s="35"/>
      <c r="X78" s="59"/>
      <c r="Y78" s="91" t="s">
        <v>55</v>
      </c>
      <c r="Z78" s="37">
        <f ca="1">IFERROR(__xludf.DUMMYFUNCTION("ArrayFormula(mod(COUNTUNIQUE($C$3:C78),2))"),1)</f>
        <v>1</v>
      </c>
    </row>
    <row r="79" spans="1:26" ht="70">
      <c r="A79" s="29">
        <f ca="1">IFERROR(__xludf.DUMMYFUNCTION("""COMPUTED_VALUE"""),5)</f>
        <v>5</v>
      </c>
      <c r="B79" s="29">
        <f ca="1">IFERROR(__xludf.DUMMYFUNCTION("""COMPUTED_VALUE"""),1)</f>
        <v>1</v>
      </c>
      <c r="C79" s="30" t="str">
        <f ca="1">IFERROR(__xludf.DUMMYFUNCTION("""COMPUTED_VALUE"""),"Computing systems and networks - Systems and searching")</f>
        <v>Computing systems and networks - Systems and searching</v>
      </c>
      <c r="D79" s="29">
        <f ca="1">IFERROR(__xludf.DUMMYFUNCTION("""COMPUTED_VALUE"""),5)</f>
        <v>5</v>
      </c>
      <c r="E79" s="30" t="str">
        <f ca="1">IFERROR(__xludf.DUMMYFUNCTION("""COMPUTED_VALUE"""),"-To explain how search results are ranked")</f>
        <v>-To explain how search results are ranked</v>
      </c>
      <c r="F79" s="31" t="str">
        <f ca="1">IFERROR(__xludf.DUMMYFUNCTION("""COMPUTED_VALUE""")," -I can explain that a search engine follows rules to rank results
- I can give examples of criteria used by search engines to rank results
- I can order a list by rank")</f>
        <v xml:space="preserve"> -I can explain that a search engine follows rules to rank results
- I can give examples of criteria used by search engines to rank results
- I can order a list by rank</v>
      </c>
      <c r="G79" s="75" t="b">
        <f ca="1">IFERROR(__xludf.DUMMYFUNCTION("""COMPUTED_VALUE"""),TRUE)</f>
        <v>1</v>
      </c>
      <c r="H79" s="33" t="b">
        <f ca="1">IFERROR(__xludf.DUMMYFUNCTION("""COMPUTED_VALUE"""),TRUE)</f>
        <v>1</v>
      </c>
      <c r="I79" s="34"/>
      <c r="J79" s="33" t="b">
        <f ca="1">IFERROR(__xludf.DUMMYFUNCTION("""COMPUTED_VALUE"""),TRUE)</f>
        <v>1</v>
      </c>
      <c r="K79" s="34"/>
      <c r="L79" s="33" t="b">
        <f ca="1">IFERROR(__xludf.DUMMYFUNCTION("""COMPUTED_VALUE"""),TRUE)</f>
        <v>1</v>
      </c>
      <c r="M79" s="78"/>
      <c r="N79" s="32"/>
      <c r="O79" s="34"/>
      <c r="P79" s="34"/>
      <c r="Q79" s="34"/>
      <c r="R79" s="34"/>
      <c r="S79" s="33" t="b">
        <f ca="1">IFERROR(__xludf.DUMMYFUNCTION("""COMPUTED_VALUE"""),TRUE)</f>
        <v>1</v>
      </c>
      <c r="T79" s="34"/>
      <c r="U79" s="33" t="b">
        <f ca="1">IFERROR(__xludf.DUMMYFUNCTION("""COMPUTED_VALUE"""),TRUE)</f>
        <v>1</v>
      </c>
      <c r="V79" s="34"/>
      <c r="W79" s="35"/>
      <c r="X79" s="59"/>
      <c r="Y79" s="91" t="s">
        <v>55</v>
      </c>
      <c r="Z79" s="37">
        <f ca="1">IFERROR(__xludf.DUMMYFUNCTION("ArrayFormula(mod(COUNTUNIQUE($C$3:C79),2))"),1)</f>
        <v>1</v>
      </c>
    </row>
    <row r="80" spans="1:26" ht="70">
      <c r="A80" s="38">
        <f ca="1">IFERROR(__xludf.DUMMYFUNCTION("""COMPUTED_VALUE"""),5)</f>
        <v>5</v>
      </c>
      <c r="B80" s="38">
        <f ca="1">IFERROR(__xludf.DUMMYFUNCTION("""COMPUTED_VALUE"""),1)</f>
        <v>1</v>
      </c>
      <c r="C80" s="39" t="str">
        <f ca="1">IFERROR(__xludf.DUMMYFUNCTION("""COMPUTED_VALUE"""),"Computing systems and networks - Systems and searching")</f>
        <v>Computing systems and networks - Systems and searching</v>
      </c>
      <c r="D80" s="38">
        <f ca="1">IFERROR(__xludf.DUMMYFUNCTION("""COMPUTED_VALUE"""),6)</f>
        <v>6</v>
      </c>
      <c r="E80" s="39" t="str">
        <f ca="1">IFERROR(__xludf.DUMMYFUNCTION("""COMPUTED_VALUE""")," -To recognise why the order of results is important, and to whom")</f>
        <v xml:space="preserve"> -To recognise why the order of results is important, and to whom</v>
      </c>
      <c r="F80" s="40" t="str">
        <f ca="1">IFERROR(__xludf.DUMMYFUNCTION("""COMPUTED_VALUE""")," -I can describe some of the ways that search results can be influenced
- I can explain how search engines make money
- I can recognise some of the limitations of search engines")</f>
        <v xml:space="preserve"> -I can describe some of the ways that search results can be influenced
- I can explain how search engines make money
- I can recognise some of the limitations of search engines</v>
      </c>
      <c r="G80" s="76" t="b">
        <f ca="1">IFERROR(__xludf.DUMMYFUNCTION("""COMPUTED_VALUE"""),TRUE)</f>
        <v>1</v>
      </c>
      <c r="H80" s="42" t="b">
        <f ca="1">IFERROR(__xludf.DUMMYFUNCTION("""COMPUTED_VALUE"""),TRUE)</f>
        <v>1</v>
      </c>
      <c r="I80" s="43"/>
      <c r="J80" s="42" t="b">
        <f ca="1">IFERROR(__xludf.DUMMYFUNCTION("""COMPUTED_VALUE"""),TRUE)</f>
        <v>1</v>
      </c>
      <c r="K80" s="43"/>
      <c r="L80" s="42" t="b">
        <f ca="1">IFERROR(__xludf.DUMMYFUNCTION("""COMPUTED_VALUE"""),TRUE)</f>
        <v>1</v>
      </c>
      <c r="M80" s="79"/>
      <c r="N80" s="41"/>
      <c r="O80" s="43"/>
      <c r="P80" s="43"/>
      <c r="Q80" s="42" t="b">
        <f ca="1">IFERROR(__xludf.DUMMYFUNCTION("""COMPUTED_VALUE"""),TRUE)</f>
        <v>1</v>
      </c>
      <c r="R80" s="43"/>
      <c r="S80" s="42" t="b">
        <f ca="1">IFERROR(__xludf.DUMMYFUNCTION("""COMPUTED_VALUE"""),TRUE)</f>
        <v>1</v>
      </c>
      <c r="T80" s="43"/>
      <c r="U80" s="42" t="b">
        <f ca="1">IFERROR(__xludf.DUMMYFUNCTION("""COMPUTED_VALUE"""),TRUE)</f>
        <v>1</v>
      </c>
      <c r="V80" s="43"/>
      <c r="W80" s="44"/>
      <c r="X80" s="64"/>
      <c r="Y80" s="92" t="s">
        <v>55</v>
      </c>
      <c r="Z80" s="46">
        <f ca="1">IFERROR(__xludf.DUMMYFUNCTION("ArrayFormula(mod(COUNTUNIQUE($C$3:C80),2))"),1)</f>
        <v>1</v>
      </c>
    </row>
    <row r="81" spans="1:26" ht="56">
      <c r="A81" s="47">
        <f ca="1">IFERROR(__xludf.DUMMYFUNCTION("""COMPUTED_VALUE"""),5)</f>
        <v>5</v>
      </c>
      <c r="B81" s="47">
        <f ca="1">IFERROR(__xludf.DUMMYFUNCTION("""COMPUTED_VALUE"""),2)</f>
        <v>2</v>
      </c>
      <c r="C81" s="48" t="str">
        <f ca="1">IFERROR(__xludf.DUMMYFUNCTION("""COMPUTED_VALUE"""),"Creating media - Video production")</f>
        <v>Creating media - Video production</v>
      </c>
      <c r="D81" s="47">
        <f ca="1">IFERROR(__xludf.DUMMYFUNCTION("""COMPUTED_VALUE"""),1)</f>
        <v>1</v>
      </c>
      <c r="E81" s="48" t="str">
        <f ca="1">IFERROR(__xludf.DUMMYFUNCTION("""COMPUTED_VALUE"""),"-To explain what makes a video effective")</f>
        <v>-To explain what makes a video effective</v>
      </c>
      <c r="F81" s="49" t="str">
        <f ca="1">IFERROR(__xludf.DUMMYFUNCTION("""COMPUTED_VALUE""")," -I can compare features in different videos
- I can explain that video is a visual media format
- I can identify features of videos")</f>
        <v xml:space="preserve"> -I can compare features in different videos
- I can explain that video is a visual media format
- I can identify features of videos</v>
      </c>
      <c r="G81" s="50"/>
      <c r="H81" s="51"/>
      <c r="I81" s="51"/>
      <c r="J81" s="51"/>
      <c r="K81" s="51" t="b">
        <f ca="1">IFERROR(__xludf.DUMMYFUNCTION("""COMPUTED_VALUE"""),TRUE)</f>
        <v>1</v>
      </c>
      <c r="L81" s="51" t="b">
        <f ca="1">IFERROR(__xludf.DUMMYFUNCTION("""COMPUTED_VALUE"""),TRUE)</f>
        <v>1</v>
      </c>
      <c r="M81" s="53" t="b">
        <f ca="1">IFERROR(__xludf.DUMMYFUNCTION("""COMPUTED_VALUE"""),TRUE)</f>
        <v>1</v>
      </c>
      <c r="N81" s="50"/>
      <c r="O81" s="51" t="b">
        <f ca="1">IFERROR(__xludf.DUMMYFUNCTION("""COMPUTED_VALUE"""),TRUE)</f>
        <v>1</v>
      </c>
      <c r="P81" s="51"/>
      <c r="Q81" s="51" t="b">
        <f ca="1">IFERROR(__xludf.DUMMYFUNCTION("""COMPUTED_VALUE"""),TRUE)</f>
        <v>1</v>
      </c>
      <c r="R81" s="51"/>
      <c r="S81" s="51"/>
      <c r="T81" s="51"/>
      <c r="U81" s="51"/>
      <c r="V81" s="51"/>
      <c r="W81" s="53"/>
      <c r="X81" s="54"/>
      <c r="Y81" s="90" t="s">
        <v>62</v>
      </c>
      <c r="Z81" s="55">
        <f ca="1">IFERROR(__xludf.DUMMYFUNCTION("ArrayFormula(mod(COUNTUNIQUE($C$3:C81),2))"),0)</f>
        <v>0</v>
      </c>
    </row>
    <row r="82" spans="1:26" ht="56">
      <c r="A82" s="29">
        <f ca="1">IFERROR(__xludf.DUMMYFUNCTION("""COMPUTED_VALUE"""),5)</f>
        <v>5</v>
      </c>
      <c r="B82" s="29">
        <f ca="1">IFERROR(__xludf.DUMMYFUNCTION("""COMPUTED_VALUE"""),2)</f>
        <v>2</v>
      </c>
      <c r="C82" s="30" t="str">
        <f ca="1">IFERROR(__xludf.DUMMYFUNCTION("""COMPUTED_VALUE"""),"Creating media - Video production")</f>
        <v>Creating media - Video production</v>
      </c>
      <c r="D82" s="29">
        <f ca="1">IFERROR(__xludf.DUMMYFUNCTION("""COMPUTED_VALUE"""),2)</f>
        <v>2</v>
      </c>
      <c r="E82" s="30" t="str">
        <f ca="1">IFERROR(__xludf.DUMMYFUNCTION("""COMPUTED_VALUE"""),"-To identify digital devices that can record video")</f>
        <v>-To identify digital devices that can record video</v>
      </c>
      <c r="F82" s="31" t="str">
        <f ca="1">IFERROR(__xludf.DUMMYFUNCTION("""COMPUTED_VALUE""")," -I can experiment with different camera angles
- I can identify and find features on a digital video recording device
- I can make use of a microphone")</f>
        <v xml:space="preserve"> -I can experiment with different camera angles
- I can identify and find features on a digital video recording device
- I can make use of a microphone</v>
      </c>
      <c r="G82" s="56"/>
      <c r="H82" s="57"/>
      <c r="I82" s="57"/>
      <c r="J82" s="57"/>
      <c r="K82" s="57" t="b">
        <f ca="1">IFERROR(__xludf.DUMMYFUNCTION("""COMPUTED_VALUE"""),TRUE)</f>
        <v>1</v>
      </c>
      <c r="L82" s="57" t="b">
        <f ca="1">IFERROR(__xludf.DUMMYFUNCTION("""COMPUTED_VALUE"""),TRUE)</f>
        <v>1</v>
      </c>
      <c r="M82" s="58" t="b">
        <f ca="1">IFERROR(__xludf.DUMMYFUNCTION("""COMPUTED_VALUE"""),TRUE)</f>
        <v>1</v>
      </c>
      <c r="N82" s="56"/>
      <c r="O82" s="57" t="b">
        <f ca="1">IFERROR(__xludf.DUMMYFUNCTION("""COMPUTED_VALUE"""),TRUE)</f>
        <v>1</v>
      </c>
      <c r="P82" s="57" t="b">
        <f ca="1">IFERROR(__xludf.DUMMYFUNCTION("""COMPUTED_VALUE"""),TRUE)</f>
        <v>1</v>
      </c>
      <c r="Q82" s="57"/>
      <c r="R82" s="57"/>
      <c r="S82" s="57"/>
      <c r="T82" s="57"/>
      <c r="U82" s="57"/>
      <c r="V82" s="57"/>
      <c r="W82" s="58"/>
      <c r="X82" s="59"/>
      <c r="Y82" s="91" t="s">
        <v>62</v>
      </c>
      <c r="Z82" s="60">
        <f ca="1">IFERROR(__xludf.DUMMYFUNCTION("ArrayFormula(mod(COUNTUNIQUE($C$3:C82),2))"),0)</f>
        <v>0</v>
      </c>
    </row>
    <row r="83" spans="1:26" ht="70">
      <c r="A83" s="29">
        <f ca="1">IFERROR(__xludf.DUMMYFUNCTION("""COMPUTED_VALUE"""),5)</f>
        <v>5</v>
      </c>
      <c r="B83" s="29">
        <f ca="1">IFERROR(__xludf.DUMMYFUNCTION("""COMPUTED_VALUE"""),2)</f>
        <v>2</v>
      </c>
      <c r="C83" s="30" t="str">
        <f ca="1">IFERROR(__xludf.DUMMYFUNCTION("""COMPUTED_VALUE"""),"Creating media - Video production")</f>
        <v>Creating media - Video production</v>
      </c>
      <c r="D83" s="29">
        <f ca="1">IFERROR(__xludf.DUMMYFUNCTION("""COMPUTED_VALUE"""),3)</f>
        <v>3</v>
      </c>
      <c r="E83" s="30" t="str">
        <f ca="1">IFERROR(__xludf.DUMMYFUNCTION("""COMPUTED_VALUE"""),"-To capture video using a range of techniques")</f>
        <v>-To capture video using a range of techniques</v>
      </c>
      <c r="F83" s="31" t="str">
        <f ca="1">IFERROR(__xludf.DUMMYFUNCTION("""COMPUTED_VALUE""")," -I can capture video using a range of filming techniques
- I can review how effective my video is
- I can suggest filming techniques for a given purpose")</f>
        <v xml:space="preserve"> -I can capture video using a range of filming techniques
- I can review how effective my video is
- I can suggest filming techniques for a given purpose</v>
      </c>
      <c r="G83" s="56"/>
      <c r="H83" s="57"/>
      <c r="I83" s="57"/>
      <c r="J83" s="57"/>
      <c r="K83" s="57" t="b">
        <f ca="1">IFERROR(__xludf.DUMMYFUNCTION("""COMPUTED_VALUE"""),TRUE)</f>
        <v>1</v>
      </c>
      <c r="L83" s="57" t="b">
        <f ca="1">IFERROR(__xludf.DUMMYFUNCTION("""COMPUTED_VALUE"""),TRUE)</f>
        <v>1</v>
      </c>
      <c r="M83" s="58" t="b">
        <f ca="1">IFERROR(__xludf.DUMMYFUNCTION("""COMPUTED_VALUE"""),TRUE)</f>
        <v>1</v>
      </c>
      <c r="N83" s="56"/>
      <c r="O83" s="57" t="b">
        <f ca="1">IFERROR(__xludf.DUMMYFUNCTION("""COMPUTED_VALUE"""),TRUE)</f>
        <v>1</v>
      </c>
      <c r="P83" s="57"/>
      <c r="Q83" s="57"/>
      <c r="R83" s="57"/>
      <c r="S83" s="57"/>
      <c r="T83" s="57"/>
      <c r="U83" s="57"/>
      <c r="V83" s="57"/>
      <c r="W83" s="58" t="b">
        <f ca="1">IFERROR(__xludf.DUMMYFUNCTION("""COMPUTED_VALUE"""),TRUE)</f>
        <v>1</v>
      </c>
      <c r="X83" s="59"/>
      <c r="Y83" s="91" t="s">
        <v>62</v>
      </c>
      <c r="Z83" s="60">
        <f ca="1">IFERROR(__xludf.DUMMYFUNCTION("ArrayFormula(mod(COUNTUNIQUE($C$3:C83),2))"),0)</f>
        <v>0</v>
      </c>
    </row>
    <row r="84" spans="1:26" ht="56">
      <c r="A84" s="29">
        <f ca="1">IFERROR(__xludf.DUMMYFUNCTION("""COMPUTED_VALUE"""),5)</f>
        <v>5</v>
      </c>
      <c r="B84" s="29">
        <f ca="1">IFERROR(__xludf.DUMMYFUNCTION("""COMPUTED_VALUE"""),2)</f>
        <v>2</v>
      </c>
      <c r="C84" s="30" t="str">
        <f ca="1">IFERROR(__xludf.DUMMYFUNCTION("""COMPUTED_VALUE"""),"Creating media - Video production")</f>
        <v>Creating media - Video production</v>
      </c>
      <c r="D84" s="29">
        <f ca="1">IFERROR(__xludf.DUMMYFUNCTION("""COMPUTED_VALUE"""),4)</f>
        <v>4</v>
      </c>
      <c r="E84" s="30" t="str">
        <f ca="1">IFERROR(__xludf.DUMMYFUNCTION("""COMPUTED_VALUE"""),"-To create a storyboard")</f>
        <v>-To create a storyboard</v>
      </c>
      <c r="F84" s="31" t="str">
        <f ca="1">IFERROR(__xludf.DUMMYFUNCTION("""COMPUTED_VALUE""")," -I can create and save video content
- I can decide which filming techniques I will use
- I can outline the scenes of my video")</f>
        <v xml:space="preserve"> -I can create and save video content
- I can decide which filming techniques I will use
- I can outline the scenes of my video</v>
      </c>
      <c r="G84" s="56"/>
      <c r="H84" s="57"/>
      <c r="I84" s="57"/>
      <c r="J84" s="57"/>
      <c r="K84" s="57" t="b">
        <f ca="1">IFERROR(__xludf.DUMMYFUNCTION("""COMPUTED_VALUE"""),TRUE)</f>
        <v>1</v>
      </c>
      <c r="L84" s="57" t="b">
        <f ca="1">IFERROR(__xludf.DUMMYFUNCTION("""COMPUTED_VALUE"""),TRUE)</f>
        <v>1</v>
      </c>
      <c r="M84" s="58" t="b">
        <f ca="1">IFERROR(__xludf.DUMMYFUNCTION("""COMPUTED_VALUE"""),TRUE)</f>
        <v>1</v>
      </c>
      <c r="N84" s="56"/>
      <c r="O84" s="57" t="b">
        <f ca="1">IFERROR(__xludf.DUMMYFUNCTION("""COMPUTED_VALUE"""),TRUE)</f>
        <v>1</v>
      </c>
      <c r="P84" s="57"/>
      <c r="Q84" s="57" t="b">
        <f ca="1">IFERROR(__xludf.DUMMYFUNCTION("""COMPUTED_VALUE"""),TRUE)</f>
        <v>1</v>
      </c>
      <c r="R84" s="57"/>
      <c r="S84" s="57" t="b">
        <f ca="1">IFERROR(__xludf.DUMMYFUNCTION("""COMPUTED_VALUE"""),TRUE)</f>
        <v>1</v>
      </c>
      <c r="T84" s="57"/>
      <c r="U84" s="57"/>
      <c r="V84" s="57"/>
      <c r="W84" s="58"/>
      <c r="X84" s="59"/>
      <c r="Y84" s="91" t="s">
        <v>62</v>
      </c>
      <c r="Z84" s="60">
        <f ca="1">IFERROR(__xludf.DUMMYFUNCTION("ArrayFormula(mod(COUNTUNIQUE($C$3:C84),2))"),0)</f>
        <v>0</v>
      </c>
    </row>
    <row r="85" spans="1:26" ht="84">
      <c r="A85" s="29">
        <f ca="1">IFERROR(__xludf.DUMMYFUNCTION("""COMPUTED_VALUE"""),5)</f>
        <v>5</v>
      </c>
      <c r="B85" s="29">
        <f ca="1">IFERROR(__xludf.DUMMYFUNCTION("""COMPUTED_VALUE"""),2)</f>
        <v>2</v>
      </c>
      <c r="C85" s="30" t="str">
        <f ca="1">IFERROR(__xludf.DUMMYFUNCTION("""COMPUTED_VALUE"""),"Creating media - Video production")</f>
        <v>Creating media - Video production</v>
      </c>
      <c r="D85" s="29">
        <f ca="1">IFERROR(__xludf.DUMMYFUNCTION("""COMPUTED_VALUE"""),5)</f>
        <v>5</v>
      </c>
      <c r="E85" s="30" t="str">
        <f ca="1">IFERROR(__xludf.DUMMYFUNCTION("""COMPUTED_VALUE"""),"-To identify that video can be improved through reshooting and editing")</f>
        <v>-To identify that video can be improved through reshooting and editing</v>
      </c>
      <c r="F85" s="31" t="str">
        <f ca="1">IFERROR(__xludf.DUMMYFUNCTION("""COMPUTED_VALUE""")," -I can explain how to improve a video by reshooting and editing
- I can select the correct tools to make edits to my video
- I can store, retrieve, and export my recording to a computer")</f>
        <v xml:space="preserve"> -I can explain how to improve a video by reshooting and editing
- I can select the correct tools to make edits to my video
- I can store, retrieve, and export my recording to a computer</v>
      </c>
      <c r="G85" s="56"/>
      <c r="H85" s="57"/>
      <c r="I85" s="57"/>
      <c r="J85" s="57"/>
      <c r="K85" s="57" t="b">
        <f ca="1">IFERROR(__xludf.DUMMYFUNCTION("""COMPUTED_VALUE"""),TRUE)</f>
        <v>1</v>
      </c>
      <c r="L85" s="57" t="b">
        <f ca="1">IFERROR(__xludf.DUMMYFUNCTION("""COMPUTED_VALUE"""),TRUE)</f>
        <v>1</v>
      </c>
      <c r="M85" s="58" t="b">
        <f ca="1">IFERROR(__xludf.DUMMYFUNCTION("""COMPUTED_VALUE"""),TRUE)</f>
        <v>1</v>
      </c>
      <c r="N85" s="56"/>
      <c r="O85" s="57" t="b">
        <f ca="1">IFERROR(__xludf.DUMMYFUNCTION("""COMPUTED_VALUE"""),TRUE)</f>
        <v>1</v>
      </c>
      <c r="P85" s="57"/>
      <c r="Q85" s="57"/>
      <c r="R85" s="57"/>
      <c r="S85" s="57" t="b">
        <f ca="1">IFERROR(__xludf.DUMMYFUNCTION("""COMPUTED_VALUE"""),TRUE)</f>
        <v>1</v>
      </c>
      <c r="T85" s="57"/>
      <c r="U85" s="57"/>
      <c r="V85" s="57"/>
      <c r="W85" s="58"/>
      <c r="X85" s="59"/>
      <c r="Y85" s="91" t="s">
        <v>62</v>
      </c>
      <c r="Z85" s="60">
        <f ca="1">IFERROR(__xludf.DUMMYFUNCTION("ArrayFormula(mod(COUNTUNIQUE($C$3:C85),2))"),0)</f>
        <v>0</v>
      </c>
    </row>
    <row r="86" spans="1:26" ht="70">
      <c r="A86" s="38">
        <f ca="1">IFERROR(__xludf.DUMMYFUNCTION("""COMPUTED_VALUE"""),5)</f>
        <v>5</v>
      </c>
      <c r="B86" s="38">
        <f ca="1">IFERROR(__xludf.DUMMYFUNCTION("""COMPUTED_VALUE"""),2)</f>
        <v>2</v>
      </c>
      <c r="C86" s="39" t="str">
        <f ca="1">IFERROR(__xludf.DUMMYFUNCTION("""COMPUTED_VALUE"""),"Creating media - Video production")</f>
        <v>Creating media - Video production</v>
      </c>
      <c r="D86" s="38">
        <f ca="1">IFERROR(__xludf.DUMMYFUNCTION("""COMPUTED_VALUE"""),6)</f>
        <v>6</v>
      </c>
      <c r="E86" s="39" t="str">
        <f ca="1">IFERROR(__xludf.DUMMYFUNCTION("""COMPUTED_VALUE"""),"-To consider the impact of the choices made when making and sharing a video")</f>
        <v>-To consider the impact of the choices made when making and sharing a video</v>
      </c>
      <c r="F86" s="40" t="str">
        <f ca="1">IFERROR(__xludf.DUMMYFUNCTION("""COMPUTED_VALUE""")," -I can evaluate my video and share my opinions
- I can make edits to my video and improve the final outcome
- I can recognise that my choices when making a video will impact on the quality of the final outcome")</f>
        <v xml:space="preserve"> -I can evaluate my video and share my opinions
- I can make edits to my video and improve the final outcome
- I can recognise that my choices when making a video will impact on the quality of the final outcome</v>
      </c>
      <c r="G86" s="61"/>
      <c r="H86" s="62"/>
      <c r="I86" s="62"/>
      <c r="J86" s="62"/>
      <c r="K86" s="62" t="b">
        <f ca="1">IFERROR(__xludf.DUMMYFUNCTION("""COMPUTED_VALUE"""),TRUE)</f>
        <v>1</v>
      </c>
      <c r="L86" s="62" t="b">
        <f ca="1">IFERROR(__xludf.DUMMYFUNCTION("""COMPUTED_VALUE"""),TRUE)</f>
        <v>1</v>
      </c>
      <c r="M86" s="63" t="b">
        <f ca="1">IFERROR(__xludf.DUMMYFUNCTION("""COMPUTED_VALUE"""),TRUE)</f>
        <v>1</v>
      </c>
      <c r="N86" s="61"/>
      <c r="O86" s="62" t="b">
        <f ca="1">IFERROR(__xludf.DUMMYFUNCTION("""COMPUTED_VALUE"""),TRUE)</f>
        <v>1</v>
      </c>
      <c r="P86" s="62"/>
      <c r="Q86" s="62" t="b">
        <f ca="1">IFERROR(__xludf.DUMMYFUNCTION("""COMPUTED_VALUE"""),TRUE)</f>
        <v>1</v>
      </c>
      <c r="R86" s="62"/>
      <c r="S86" s="62" t="b">
        <f ca="1">IFERROR(__xludf.DUMMYFUNCTION("""COMPUTED_VALUE"""),TRUE)</f>
        <v>1</v>
      </c>
      <c r="T86" s="62"/>
      <c r="U86" s="62"/>
      <c r="V86" s="62"/>
      <c r="W86" s="63"/>
      <c r="X86" s="64"/>
      <c r="Y86" s="92" t="s">
        <v>62</v>
      </c>
      <c r="Z86" s="65">
        <f ca="1">IFERROR(__xludf.DUMMYFUNCTION("ArrayFormula(mod(COUNTUNIQUE($C$3:C86),2))"),0)</f>
        <v>0</v>
      </c>
    </row>
    <row r="87" spans="1:26" ht="70">
      <c r="A87" s="47">
        <f ca="1">IFERROR(__xludf.DUMMYFUNCTION("""COMPUTED_VALUE"""),5)</f>
        <v>5</v>
      </c>
      <c r="B87" s="47">
        <f ca="1">IFERROR(__xludf.DUMMYFUNCTION("""COMPUTED_VALUE"""),3)</f>
        <v>3</v>
      </c>
      <c r="C87" s="48" t="str">
        <f ca="1">IFERROR(__xludf.DUMMYFUNCTION("""COMPUTED_VALUE"""),"Programming A – Selection in physical computing")</f>
        <v>Programming A – Selection in physical computing</v>
      </c>
      <c r="D87" s="47">
        <f ca="1">IFERROR(__xludf.DUMMYFUNCTION("""COMPUTED_VALUE"""),1)</f>
        <v>1</v>
      </c>
      <c r="E87" s="48" t="str">
        <f ca="1">IFERROR(__xludf.DUMMYFUNCTION("""COMPUTED_VALUE"""),"-To control a simple circuit connected to a computer")</f>
        <v>-To control a simple circuit connected to a computer</v>
      </c>
      <c r="F87" s="49" t="str">
        <f ca="1">IFERROR(__xludf.DUMMYFUNCTION("""COMPUTED_VALUE""")," -I can create a simple circuit and connect it to a microcontroller
- I can explain what an infinite loop does
- I can program a microcontroller to make an LED switch on")</f>
        <v xml:space="preserve"> -I can create a simple circuit and connect it to a microcontroller
- I can explain what an infinite loop does
- I can program a microcontroller to make an LED switch on</v>
      </c>
      <c r="G87" s="66" t="b">
        <f ca="1">IFERROR(__xludf.DUMMYFUNCTION("""COMPUTED_VALUE"""),TRUE)</f>
        <v>1</v>
      </c>
      <c r="H87" s="67" t="b">
        <f ca="1">IFERROR(__xludf.DUMMYFUNCTION("""COMPUTED_VALUE"""),TRUE)</f>
        <v>1</v>
      </c>
      <c r="I87" s="67" t="b">
        <f ca="1">IFERROR(__xludf.DUMMYFUNCTION("""COMPUTED_VALUE"""),TRUE)</f>
        <v>1</v>
      </c>
      <c r="J87" s="67"/>
      <c r="K87" s="67"/>
      <c r="L87" s="67" t="b">
        <f ca="1">IFERROR(__xludf.DUMMYFUNCTION("""COMPUTED_VALUE"""),TRUE)</f>
        <v>1</v>
      </c>
      <c r="M87" s="68"/>
      <c r="N87" s="66"/>
      <c r="O87" s="67"/>
      <c r="P87" s="67" t="b">
        <f ca="1">IFERROR(__xludf.DUMMYFUNCTION("""COMPUTED_VALUE"""),TRUE)</f>
        <v>1</v>
      </c>
      <c r="Q87" s="67"/>
      <c r="R87" s="67"/>
      <c r="S87" s="67"/>
      <c r="T87" s="67"/>
      <c r="U87" s="67"/>
      <c r="V87" s="67" t="b">
        <f ca="1">IFERROR(__xludf.DUMMYFUNCTION("""COMPUTED_VALUE"""),TRUE)</f>
        <v>1</v>
      </c>
      <c r="W87" s="68"/>
      <c r="X87" s="69"/>
      <c r="Y87" s="93"/>
      <c r="Z87" s="70">
        <f ca="1">IFERROR(__xludf.DUMMYFUNCTION("ArrayFormula(mod(COUNTUNIQUE($C$3:C87),2))"),1)</f>
        <v>1</v>
      </c>
    </row>
    <row r="88" spans="1:26" ht="70">
      <c r="A88" s="29">
        <f ca="1">IFERROR(__xludf.DUMMYFUNCTION("""COMPUTED_VALUE"""),5)</f>
        <v>5</v>
      </c>
      <c r="B88" s="29">
        <f ca="1">IFERROR(__xludf.DUMMYFUNCTION("""COMPUTED_VALUE"""),3)</f>
        <v>3</v>
      </c>
      <c r="C88" s="30" t="str">
        <f ca="1">IFERROR(__xludf.DUMMYFUNCTION("""COMPUTED_VALUE"""),"Programming A – Selection in physical computing")</f>
        <v>Programming A – Selection in physical computing</v>
      </c>
      <c r="D88" s="29">
        <f ca="1">IFERROR(__xludf.DUMMYFUNCTION("""COMPUTED_VALUE"""),2)</f>
        <v>2</v>
      </c>
      <c r="E88" s="30" t="str">
        <f ca="1">IFERROR(__xludf.DUMMYFUNCTION("""COMPUTED_VALUE"""),"-To write a program that includes count-controlled loops")</f>
        <v>-To write a program that includes count-controlled loops</v>
      </c>
      <c r="F88" s="31" t="str">
        <f ca="1">IFERROR(__xludf.DUMMYFUNCTION("""COMPUTED_VALUE""")," -I can connect more than one output component to a microcontroller
- I can design sequences that use count-controlled loops
- I can use a count-controlled loop to control outputs")</f>
        <v xml:space="preserve"> -I can connect more than one output component to a microcontroller
- I can design sequences that use count-controlled loops
- I can use a count-controlled loop to control outputs</v>
      </c>
      <c r="G88" s="32" t="b">
        <f ca="1">IFERROR(__xludf.DUMMYFUNCTION("""COMPUTED_VALUE"""),TRUE)</f>
        <v>1</v>
      </c>
      <c r="H88" s="34" t="b">
        <f ca="1">IFERROR(__xludf.DUMMYFUNCTION("""COMPUTED_VALUE"""),TRUE)</f>
        <v>1</v>
      </c>
      <c r="I88" s="34" t="b">
        <f ca="1">IFERROR(__xludf.DUMMYFUNCTION("""COMPUTED_VALUE"""),TRUE)</f>
        <v>1</v>
      </c>
      <c r="J88" s="34"/>
      <c r="K88" s="34"/>
      <c r="L88" s="34" t="b">
        <f ca="1">IFERROR(__xludf.DUMMYFUNCTION("""COMPUTED_VALUE"""),TRUE)</f>
        <v>1</v>
      </c>
      <c r="M88" s="35"/>
      <c r="N88" s="32"/>
      <c r="O88" s="34"/>
      <c r="P88" s="34" t="b">
        <f ca="1">IFERROR(__xludf.DUMMYFUNCTION("""COMPUTED_VALUE"""),TRUE)</f>
        <v>1</v>
      </c>
      <c r="Q88" s="34"/>
      <c r="R88" s="34"/>
      <c r="S88" s="34"/>
      <c r="T88" s="34"/>
      <c r="U88" s="34"/>
      <c r="V88" s="34" t="b">
        <f ca="1">IFERROR(__xludf.DUMMYFUNCTION("""COMPUTED_VALUE"""),TRUE)</f>
        <v>1</v>
      </c>
      <c r="W88" s="35"/>
      <c r="X88" s="36"/>
      <c r="Y88" s="88"/>
      <c r="Z88" s="37">
        <f ca="1">IFERROR(__xludf.DUMMYFUNCTION("ArrayFormula(mod(COUNTUNIQUE($C$3:C88),2))"),1)</f>
        <v>1</v>
      </c>
    </row>
    <row r="89" spans="1:26" ht="56">
      <c r="A89" s="29">
        <f ca="1">IFERROR(__xludf.DUMMYFUNCTION("""COMPUTED_VALUE"""),5)</f>
        <v>5</v>
      </c>
      <c r="B89" s="29">
        <f ca="1">IFERROR(__xludf.DUMMYFUNCTION("""COMPUTED_VALUE"""),3)</f>
        <v>3</v>
      </c>
      <c r="C89" s="30" t="str">
        <f ca="1">IFERROR(__xludf.DUMMYFUNCTION("""COMPUTED_VALUE"""),"Programming A – Selection in physical computing")</f>
        <v>Programming A – Selection in physical computing</v>
      </c>
      <c r="D89" s="29">
        <f ca="1">IFERROR(__xludf.DUMMYFUNCTION("""COMPUTED_VALUE"""),3)</f>
        <v>3</v>
      </c>
      <c r="E89" s="30" t="str">
        <f ca="1">IFERROR(__xludf.DUMMYFUNCTION("""COMPUTED_VALUE"""),"-To explain that a loop can stop when a condition is met")</f>
        <v>-To explain that a loop can stop when a condition is met</v>
      </c>
      <c r="F89" s="31" t="str">
        <f ca="1">IFERROR(__xludf.DUMMYFUNCTION("""COMPUTED_VALUE""")," -I can design a conditional loop
- I can explain that a condition is either true or false 
- I can program a microcontroller to respond to an input")</f>
        <v xml:space="preserve"> -I can design a conditional loop
- I can explain that a condition is either true or false 
- I can program a microcontroller to respond to an input</v>
      </c>
      <c r="G89" s="32" t="b">
        <f ca="1">IFERROR(__xludf.DUMMYFUNCTION("""COMPUTED_VALUE"""),TRUE)</f>
        <v>1</v>
      </c>
      <c r="H89" s="34" t="b">
        <f ca="1">IFERROR(__xludf.DUMMYFUNCTION("""COMPUTED_VALUE"""),TRUE)</f>
        <v>1</v>
      </c>
      <c r="I89" s="34" t="b">
        <f ca="1">IFERROR(__xludf.DUMMYFUNCTION("""COMPUTED_VALUE"""),TRUE)</f>
        <v>1</v>
      </c>
      <c r="J89" s="34"/>
      <c r="K89" s="34"/>
      <c r="L89" s="34" t="b">
        <f ca="1">IFERROR(__xludf.DUMMYFUNCTION("""COMPUTED_VALUE"""),TRUE)</f>
        <v>1</v>
      </c>
      <c r="M89" s="35"/>
      <c r="N89" s="32"/>
      <c r="O89" s="34"/>
      <c r="P89" s="34" t="b">
        <f ca="1">IFERROR(__xludf.DUMMYFUNCTION("""COMPUTED_VALUE"""),TRUE)</f>
        <v>1</v>
      </c>
      <c r="Q89" s="34"/>
      <c r="R89" s="34"/>
      <c r="S89" s="34"/>
      <c r="T89" s="34"/>
      <c r="U89" s="34"/>
      <c r="V89" s="34" t="b">
        <f ca="1">IFERROR(__xludf.DUMMYFUNCTION("""COMPUTED_VALUE"""),TRUE)</f>
        <v>1</v>
      </c>
      <c r="W89" s="35"/>
      <c r="X89" s="36"/>
      <c r="Y89" s="88"/>
      <c r="Z89" s="37">
        <f ca="1">IFERROR(__xludf.DUMMYFUNCTION("ArrayFormula(mod(COUNTUNIQUE($C$3:C89),2))"),1)</f>
        <v>1</v>
      </c>
    </row>
    <row r="90" spans="1:26" ht="70">
      <c r="A90" s="29">
        <f ca="1">IFERROR(__xludf.DUMMYFUNCTION("""COMPUTED_VALUE"""),5)</f>
        <v>5</v>
      </c>
      <c r="B90" s="29">
        <f ca="1">IFERROR(__xludf.DUMMYFUNCTION("""COMPUTED_VALUE"""),3)</f>
        <v>3</v>
      </c>
      <c r="C90" s="30" t="str">
        <f ca="1">IFERROR(__xludf.DUMMYFUNCTION("""COMPUTED_VALUE"""),"Programming A – Selection in physical computing")</f>
        <v>Programming A – Selection in physical computing</v>
      </c>
      <c r="D90" s="29">
        <f ca="1">IFERROR(__xludf.DUMMYFUNCTION("""COMPUTED_VALUE"""),4)</f>
        <v>4</v>
      </c>
      <c r="E90" s="30" t="str">
        <f ca="1">IFERROR(__xludf.DUMMYFUNCTION("""COMPUTED_VALUE"""),"-To explain that a loop can be used to repeatedly check whether a condition has been met")</f>
        <v>-To explain that a loop can be used to repeatedly check whether a condition has been met</v>
      </c>
      <c r="F90" s="31" t="str">
        <f ca="1">IFERROR(__xludf.DUMMYFUNCTION("""COMPUTED_VALUE""")," -I can explain that a condition being met can start an action
- I can identify a condition and an action in my project
- I can use selection (an ‘if…then…’ statement) to direct the flow of a program")</f>
        <v xml:space="preserve"> -I can explain that a condition being met can start an action
- I can identify a condition and an action in my project
- I can use selection (an ‘if…then…’ statement) to direct the flow of a program</v>
      </c>
      <c r="G90" s="32" t="b">
        <f ca="1">IFERROR(__xludf.DUMMYFUNCTION("""COMPUTED_VALUE"""),TRUE)</f>
        <v>1</v>
      </c>
      <c r="H90" s="34" t="b">
        <f ca="1">IFERROR(__xludf.DUMMYFUNCTION("""COMPUTED_VALUE"""),TRUE)</f>
        <v>1</v>
      </c>
      <c r="I90" s="34" t="b">
        <f ca="1">IFERROR(__xludf.DUMMYFUNCTION("""COMPUTED_VALUE"""),TRUE)</f>
        <v>1</v>
      </c>
      <c r="J90" s="34"/>
      <c r="K90" s="34"/>
      <c r="L90" s="34" t="b">
        <f ca="1">IFERROR(__xludf.DUMMYFUNCTION("""COMPUTED_VALUE"""),TRUE)</f>
        <v>1</v>
      </c>
      <c r="M90" s="35"/>
      <c r="N90" s="32"/>
      <c r="O90" s="34"/>
      <c r="P90" s="34"/>
      <c r="Q90" s="34"/>
      <c r="R90" s="34"/>
      <c r="S90" s="34"/>
      <c r="T90" s="34"/>
      <c r="U90" s="34"/>
      <c r="V90" s="34" t="b">
        <f ca="1">IFERROR(__xludf.DUMMYFUNCTION("""COMPUTED_VALUE"""),TRUE)</f>
        <v>1</v>
      </c>
      <c r="W90" s="35"/>
      <c r="X90" s="36"/>
      <c r="Y90" s="88"/>
      <c r="Z90" s="37">
        <f ca="1">IFERROR(__xludf.DUMMYFUNCTION("ArrayFormula(mod(COUNTUNIQUE($C$3:C90),2))"),1)</f>
        <v>1</v>
      </c>
    </row>
    <row r="91" spans="1:26" ht="56">
      <c r="A91" s="29">
        <f ca="1">IFERROR(__xludf.DUMMYFUNCTION("""COMPUTED_VALUE"""),5)</f>
        <v>5</v>
      </c>
      <c r="B91" s="29">
        <f ca="1">IFERROR(__xludf.DUMMYFUNCTION("""COMPUTED_VALUE"""),3)</f>
        <v>3</v>
      </c>
      <c r="C91" s="30" t="str">
        <f ca="1">IFERROR(__xludf.DUMMYFUNCTION("""COMPUTED_VALUE"""),"Programming A – Selection in physical computing")</f>
        <v>Programming A – Selection in physical computing</v>
      </c>
      <c r="D91" s="29">
        <f ca="1">IFERROR(__xludf.DUMMYFUNCTION("""COMPUTED_VALUE"""),5)</f>
        <v>5</v>
      </c>
      <c r="E91" s="30" t="str">
        <f ca="1">IFERROR(__xludf.DUMMYFUNCTION("""COMPUTED_VALUE"""),"-To design a physical project that includes selection")</f>
        <v>-To design a physical project that includes selection</v>
      </c>
      <c r="F91" s="31" t="str">
        <f ca="1">IFERROR(__xludf.DUMMYFUNCTION("""COMPUTED_VALUE""")," -I can create a detailed drawing of my project
- I can describe what my project will do
- I can identify a real-world example of a condition starting an action")</f>
        <v xml:space="preserve"> -I can create a detailed drawing of my project
- I can describe what my project will do
- I can identify a real-world example of a condition starting an action</v>
      </c>
      <c r="G91" s="32" t="b">
        <f ca="1">IFERROR(__xludf.DUMMYFUNCTION("""COMPUTED_VALUE"""),TRUE)</f>
        <v>1</v>
      </c>
      <c r="H91" s="34" t="b">
        <f ca="1">IFERROR(__xludf.DUMMYFUNCTION("""COMPUTED_VALUE"""),TRUE)</f>
        <v>1</v>
      </c>
      <c r="I91" s="34" t="b">
        <f ca="1">IFERROR(__xludf.DUMMYFUNCTION("""COMPUTED_VALUE"""),TRUE)</f>
        <v>1</v>
      </c>
      <c r="J91" s="34"/>
      <c r="K91" s="34"/>
      <c r="L91" s="34" t="b">
        <f ca="1">IFERROR(__xludf.DUMMYFUNCTION("""COMPUTED_VALUE"""),TRUE)</f>
        <v>1</v>
      </c>
      <c r="M91" s="35"/>
      <c r="N91" s="32"/>
      <c r="O91" s="34"/>
      <c r="P91" s="34" t="b">
        <f ca="1">IFERROR(__xludf.DUMMYFUNCTION("""COMPUTED_VALUE"""),TRUE)</f>
        <v>1</v>
      </c>
      <c r="Q91" s="34" t="b">
        <f ca="1">IFERROR(__xludf.DUMMYFUNCTION("""COMPUTED_VALUE"""),TRUE)</f>
        <v>1</v>
      </c>
      <c r="R91" s="34"/>
      <c r="S91" s="34"/>
      <c r="T91" s="34"/>
      <c r="U91" s="34"/>
      <c r="V91" s="34" t="b">
        <f ca="1">IFERROR(__xludf.DUMMYFUNCTION("""COMPUTED_VALUE"""),TRUE)</f>
        <v>1</v>
      </c>
      <c r="W91" s="35"/>
      <c r="X91" s="36"/>
      <c r="Y91" s="88"/>
      <c r="Z91" s="37">
        <f ca="1">IFERROR(__xludf.DUMMYFUNCTION("ArrayFormula(mod(COUNTUNIQUE($C$3:C91),2))"),1)</f>
        <v>1</v>
      </c>
    </row>
    <row r="92" spans="1:26" ht="70">
      <c r="A92" s="38">
        <f ca="1">IFERROR(__xludf.DUMMYFUNCTION("""COMPUTED_VALUE"""),5)</f>
        <v>5</v>
      </c>
      <c r="B92" s="38">
        <f ca="1">IFERROR(__xludf.DUMMYFUNCTION("""COMPUTED_VALUE"""),3)</f>
        <v>3</v>
      </c>
      <c r="C92" s="39" t="str">
        <f ca="1">IFERROR(__xludf.DUMMYFUNCTION("""COMPUTED_VALUE"""),"Programming A – Selection in physical computing")</f>
        <v>Programming A – Selection in physical computing</v>
      </c>
      <c r="D92" s="38">
        <f ca="1">IFERROR(__xludf.DUMMYFUNCTION("""COMPUTED_VALUE"""),6)</f>
        <v>6</v>
      </c>
      <c r="E92" s="39" t="str">
        <f ca="1">IFERROR(__xludf.DUMMYFUNCTION("""COMPUTED_VALUE"""),"-To create a program that controls a physical computing project")</f>
        <v>-To create a program that controls a physical computing project</v>
      </c>
      <c r="F92" s="40" t="str">
        <f ca="1">IFERROR(__xludf.DUMMYFUNCTION("""COMPUTED_VALUE""")," -I can test and debug my project
- I can use selection to produce an intended outcome
- I can write an algorithm that describes what my model will do")</f>
        <v xml:space="preserve"> -I can test and debug my project
- I can use selection to produce an intended outcome
- I can write an algorithm that describes what my model will do</v>
      </c>
      <c r="G92" s="41" t="b">
        <f ca="1">IFERROR(__xludf.DUMMYFUNCTION("""COMPUTED_VALUE"""),TRUE)</f>
        <v>1</v>
      </c>
      <c r="H92" s="43" t="b">
        <f ca="1">IFERROR(__xludf.DUMMYFUNCTION("""COMPUTED_VALUE"""),TRUE)</f>
        <v>1</v>
      </c>
      <c r="I92" s="43" t="b">
        <f ca="1">IFERROR(__xludf.DUMMYFUNCTION("""COMPUTED_VALUE"""),TRUE)</f>
        <v>1</v>
      </c>
      <c r="J92" s="43"/>
      <c r="K92" s="43"/>
      <c r="L92" s="43" t="b">
        <f ca="1">IFERROR(__xludf.DUMMYFUNCTION("""COMPUTED_VALUE"""),TRUE)</f>
        <v>1</v>
      </c>
      <c r="M92" s="44"/>
      <c r="N92" s="41"/>
      <c r="O92" s="43"/>
      <c r="P92" s="43" t="b">
        <f ca="1">IFERROR(__xludf.DUMMYFUNCTION("""COMPUTED_VALUE"""),TRUE)</f>
        <v>1</v>
      </c>
      <c r="Q92" s="43" t="b">
        <f ca="1">IFERROR(__xludf.DUMMYFUNCTION("""COMPUTED_VALUE"""),TRUE)</f>
        <v>1</v>
      </c>
      <c r="R92" s="43"/>
      <c r="S92" s="43"/>
      <c r="T92" s="43"/>
      <c r="U92" s="43"/>
      <c r="V92" s="43" t="b">
        <f ca="1">IFERROR(__xludf.DUMMYFUNCTION("""COMPUTED_VALUE"""),TRUE)</f>
        <v>1</v>
      </c>
      <c r="W92" s="44"/>
      <c r="X92" s="45"/>
      <c r="Y92" s="89"/>
      <c r="Z92" s="46">
        <f ca="1">IFERROR(__xludf.DUMMYFUNCTION("ArrayFormula(mod(COUNTUNIQUE($C$3:C92),2))"),1)</f>
        <v>1</v>
      </c>
    </row>
    <row r="93" spans="1:26" ht="42">
      <c r="A93" s="47">
        <f ca="1">IFERROR(__xludf.DUMMYFUNCTION("""COMPUTED_VALUE"""),5)</f>
        <v>5</v>
      </c>
      <c r="B93" s="47">
        <f ca="1">IFERROR(__xludf.DUMMYFUNCTION("""COMPUTED_VALUE"""),4)</f>
        <v>4</v>
      </c>
      <c r="C93" s="48" t="str">
        <f ca="1">IFERROR(__xludf.DUMMYFUNCTION("""COMPUTED_VALUE"""),"Data and information – Flat-file databases")</f>
        <v>Data and information – Flat-file databases</v>
      </c>
      <c r="D93" s="47">
        <f ca="1">IFERROR(__xludf.DUMMYFUNCTION("""COMPUTED_VALUE"""),1)</f>
        <v>1</v>
      </c>
      <c r="E93" s="48" t="str">
        <f ca="1">IFERROR(__xludf.DUMMYFUNCTION("""COMPUTED_VALUE"""),"-To use a form to record information")</f>
        <v>-To use a form to record information</v>
      </c>
      <c r="F93" s="49" t="str">
        <f ca="1">IFERROR(__xludf.DUMMYFUNCTION("""COMPUTED_VALUE""")," -I can create a database using cards
- I can explain how information can be recorded
- I can order, sort, and group my data cards")</f>
        <v xml:space="preserve"> -I can create a database using cards
- I can explain how information can be recorded
- I can order, sort, and group my data cards</v>
      </c>
      <c r="G93" s="50"/>
      <c r="H93" s="51"/>
      <c r="I93" s="51"/>
      <c r="J93" s="51"/>
      <c r="K93" s="52" t="b">
        <f ca="1">IFERROR(__xludf.DUMMYFUNCTION("""COMPUTED_VALUE"""),TRUE)</f>
        <v>1</v>
      </c>
      <c r="L93" s="52" t="b">
        <f ca="1">IFERROR(__xludf.DUMMYFUNCTION("""COMPUTED_VALUE"""),TRUE)</f>
        <v>1</v>
      </c>
      <c r="M93" s="53"/>
      <c r="N93" s="50"/>
      <c r="O93" s="51"/>
      <c r="P93" s="51"/>
      <c r="Q93" s="51"/>
      <c r="R93" s="52" t="b">
        <f ca="1">IFERROR(__xludf.DUMMYFUNCTION("""COMPUTED_VALUE"""),TRUE)</f>
        <v>1</v>
      </c>
      <c r="S93" s="52" t="b">
        <f ca="1">IFERROR(__xludf.DUMMYFUNCTION("""COMPUTED_VALUE"""),TRUE)</f>
        <v>1</v>
      </c>
      <c r="T93" s="51"/>
      <c r="U93" s="51"/>
      <c r="V93" s="51"/>
      <c r="W93" s="53"/>
      <c r="X93" s="71"/>
      <c r="Y93" s="94"/>
      <c r="Z93" s="55">
        <f ca="1">IFERROR(__xludf.DUMMYFUNCTION("ArrayFormula(mod(COUNTUNIQUE($C$3:C93),2))"),0)</f>
        <v>0</v>
      </c>
    </row>
    <row r="94" spans="1:26" ht="84">
      <c r="A94" s="29">
        <f ca="1">IFERROR(__xludf.DUMMYFUNCTION("""COMPUTED_VALUE"""),5)</f>
        <v>5</v>
      </c>
      <c r="B94" s="29">
        <f ca="1">IFERROR(__xludf.DUMMYFUNCTION("""COMPUTED_VALUE"""),4)</f>
        <v>4</v>
      </c>
      <c r="C94" s="30" t="str">
        <f ca="1">IFERROR(__xludf.DUMMYFUNCTION("""COMPUTED_VALUE"""),"Data and information – Flat-file databases")</f>
        <v>Data and information – Flat-file databases</v>
      </c>
      <c r="D94" s="29">
        <f ca="1">IFERROR(__xludf.DUMMYFUNCTION("""COMPUTED_VALUE"""),2)</f>
        <v>2</v>
      </c>
      <c r="E94" s="30" t="str">
        <f ca="1">IFERROR(__xludf.DUMMYFUNCTION("""COMPUTED_VALUE"""),"-To compare paper and computer-based databases")</f>
        <v>-To compare paper and computer-based databases</v>
      </c>
      <c r="F94" s="31" t="str">
        <f ca="1">IFERROR(__xludf.DUMMYFUNCTION("""COMPUTED_VALUE""")," -I can choose which field to sort data by to answer a given question
- I can explain what a field and a record is in a database 
- I can navigate a flat-file database to compare different views of information")</f>
        <v xml:space="preserve"> -I can choose which field to sort data by to answer a given question
- I can explain what a field and a record is in a database 
- I can navigate a flat-file database to compare different views of information</v>
      </c>
      <c r="G94" s="56"/>
      <c r="H94" s="57"/>
      <c r="I94" s="57"/>
      <c r="J94" s="57"/>
      <c r="K94" s="33" t="b">
        <f ca="1">IFERROR(__xludf.DUMMYFUNCTION("""COMPUTED_VALUE"""),TRUE)</f>
        <v>1</v>
      </c>
      <c r="L94" s="33" t="b">
        <f ca="1">IFERROR(__xludf.DUMMYFUNCTION("""COMPUTED_VALUE"""),TRUE)</f>
        <v>1</v>
      </c>
      <c r="M94" s="58"/>
      <c r="N94" s="56"/>
      <c r="O94" s="57"/>
      <c r="P94" s="57"/>
      <c r="Q94" s="33" t="b">
        <f ca="1">IFERROR(__xludf.DUMMYFUNCTION("""COMPUTED_VALUE"""),TRUE)</f>
        <v>1</v>
      </c>
      <c r="R94" s="33" t="b">
        <f ca="1">IFERROR(__xludf.DUMMYFUNCTION("""COMPUTED_VALUE"""),TRUE)</f>
        <v>1</v>
      </c>
      <c r="S94" s="57"/>
      <c r="T94" s="57"/>
      <c r="U94" s="57"/>
      <c r="V94" s="57"/>
      <c r="W94" s="58"/>
      <c r="X94" s="72"/>
      <c r="Y94" s="95"/>
      <c r="Z94" s="60">
        <f ca="1">IFERROR(__xludf.DUMMYFUNCTION("ArrayFormula(mod(COUNTUNIQUE($C$3:C94),2))"),0)</f>
        <v>0</v>
      </c>
    </row>
    <row r="95" spans="1:26" ht="70">
      <c r="A95" s="29">
        <f ca="1">IFERROR(__xludf.DUMMYFUNCTION("""COMPUTED_VALUE"""),5)</f>
        <v>5</v>
      </c>
      <c r="B95" s="29">
        <f ca="1">IFERROR(__xludf.DUMMYFUNCTION("""COMPUTED_VALUE"""),4)</f>
        <v>4</v>
      </c>
      <c r="C95" s="30" t="str">
        <f ca="1">IFERROR(__xludf.DUMMYFUNCTION("""COMPUTED_VALUE"""),"Data and information – Flat-file databases")</f>
        <v>Data and information – Flat-file databases</v>
      </c>
      <c r="D95" s="29">
        <f ca="1">IFERROR(__xludf.DUMMYFUNCTION("""COMPUTED_VALUE"""),3)</f>
        <v>3</v>
      </c>
      <c r="E95" s="30" t="str">
        <f ca="1">IFERROR(__xludf.DUMMYFUNCTION("""COMPUTED_VALUE"""),"-To outline how you can answer questions by grouping and then sorting data")</f>
        <v>-To outline how you can answer questions by grouping and then sorting data</v>
      </c>
      <c r="F95" s="31" t="str">
        <f ca="1">IFERROR(__xludf.DUMMYFUNCTION("""COMPUTED_VALUE""")," -I can combine grouping and sorting to answer specific questions
- I can explain that data can be grouped using chosen values
- I can group information using a database")</f>
        <v xml:space="preserve"> -I can combine grouping and sorting to answer specific questions
- I can explain that data can be grouped using chosen values
- I can group information using a database</v>
      </c>
      <c r="G95" s="56"/>
      <c r="H95" s="57"/>
      <c r="I95" s="57"/>
      <c r="J95" s="57"/>
      <c r="K95" s="33" t="b">
        <f ca="1">IFERROR(__xludf.DUMMYFUNCTION("""COMPUTED_VALUE"""),TRUE)</f>
        <v>1</v>
      </c>
      <c r="L95" s="33" t="b">
        <f ca="1">IFERROR(__xludf.DUMMYFUNCTION("""COMPUTED_VALUE"""),TRUE)</f>
        <v>1</v>
      </c>
      <c r="M95" s="58"/>
      <c r="N95" s="56"/>
      <c r="O95" s="57"/>
      <c r="P95" s="57"/>
      <c r="Q95" s="57"/>
      <c r="R95" s="33" t="b">
        <f ca="1">IFERROR(__xludf.DUMMYFUNCTION("""COMPUTED_VALUE"""),TRUE)</f>
        <v>1</v>
      </c>
      <c r="S95" s="57"/>
      <c r="T95" s="57"/>
      <c r="U95" s="57"/>
      <c r="V95" s="57"/>
      <c r="W95" s="58"/>
      <c r="X95" s="72"/>
      <c r="Y95" s="95"/>
      <c r="Z95" s="60">
        <f ca="1">IFERROR(__xludf.DUMMYFUNCTION("ArrayFormula(mod(COUNTUNIQUE($C$3:C95),2))"),0)</f>
        <v>0</v>
      </c>
    </row>
    <row r="96" spans="1:26" ht="84">
      <c r="A96" s="29">
        <f ca="1">IFERROR(__xludf.DUMMYFUNCTION("""COMPUTED_VALUE"""),5)</f>
        <v>5</v>
      </c>
      <c r="B96" s="29">
        <f ca="1">IFERROR(__xludf.DUMMYFUNCTION("""COMPUTED_VALUE"""),4)</f>
        <v>4</v>
      </c>
      <c r="C96" s="30" t="str">
        <f ca="1">IFERROR(__xludf.DUMMYFUNCTION("""COMPUTED_VALUE"""),"Data and information – Flat-file databases")</f>
        <v>Data and information – Flat-file databases</v>
      </c>
      <c r="D96" s="29">
        <f ca="1">IFERROR(__xludf.DUMMYFUNCTION("""COMPUTED_VALUE"""),4)</f>
        <v>4</v>
      </c>
      <c r="E96" s="30" t="str">
        <f ca="1">IFERROR(__xludf.DUMMYFUNCTION("""COMPUTED_VALUE"""),"-To explain that tools can be used to select specific data")</f>
        <v>-To explain that tools can be used to select specific data</v>
      </c>
      <c r="F96" s="31" t="str">
        <f ca="1">IFERROR(__xludf.DUMMYFUNCTION("""COMPUTED_VALUE""")," -I can choose multiple criteria to answer a given question
- I can choose which field and value are required to answer a given question 
- I can outline how ‘AND’ and ‘OR’ can be used to refine data selection")</f>
        <v xml:space="preserve"> -I can choose multiple criteria to answer a given question
- I can choose which field and value are required to answer a given question 
- I can outline how ‘AND’ and ‘OR’ can be used to refine data selection</v>
      </c>
      <c r="G96" s="56"/>
      <c r="H96" s="57"/>
      <c r="I96" s="57"/>
      <c r="J96" s="57"/>
      <c r="K96" s="33" t="b">
        <f ca="1">IFERROR(__xludf.DUMMYFUNCTION("""COMPUTED_VALUE"""),TRUE)</f>
        <v>1</v>
      </c>
      <c r="L96" s="33" t="b">
        <f ca="1">IFERROR(__xludf.DUMMYFUNCTION("""COMPUTED_VALUE"""),TRUE)</f>
        <v>1</v>
      </c>
      <c r="M96" s="58"/>
      <c r="N96" s="56"/>
      <c r="O96" s="57"/>
      <c r="P96" s="57"/>
      <c r="Q96" s="57"/>
      <c r="R96" s="33" t="b">
        <f ca="1">IFERROR(__xludf.DUMMYFUNCTION("""COMPUTED_VALUE"""),TRUE)</f>
        <v>1</v>
      </c>
      <c r="S96" s="33" t="b">
        <f ca="1">IFERROR(__xludf.DUMMYFUNCTION("""COMPUTED_VALUE"""),TRUE)</f>
        <v>1</v>
      </c>
      <c r="T96" s="57"/>
      <c r="U96" s="57"/>
      <c r="V96" s="57"/>
      <c r="W96" s="58"/>
      <c r="X96" s="72"/>
      <c r="Y96" s="95"/>
      <c r="Z96" s="60">
        <f ca="1">IFERROR(__xludf.DUMMYFUNCTION("ArrayFormula(mod(COUNTUNIQUE($C$3:C96),2))"),0)</f>
        <v>0</v>
      </c>
    </row>
    <row r="97" spans="1:26" ht="70">
      <c r="A97" s="29">
        <f ca="1">IFERROR(__xludf.DUMMYFUNCTION("""COMPUTED_VALUE"""),5)</f>
        <v>5</v>
      </c>
      <c r="B97" s="29">
        <f ca="1">IFERROR(__xludf.DUMMYFUNCTION("""COMPUTED_VALUE"""),4)</f>
        <v>4</v>
      </c>
      <c r="C97" s="30" t="str">
        <f ca="1">IFERROR(__xludf.DUMMYFUNCTION("""COMPUTED_VALUE"""),"Data and information – Flat-file databases")</f>
        <v>Data and information – Flat-file databases</v>
      </c>
      <c r="D97" s="29">
        <f ca="1">IFERROR(__xludf.DUMMYFUNCTION("""COMPUTED_VALUE"""),5)</f>
        <v>5</v>
      </c>
      <c r="E97" s="30" t="str">
        <f ca="1">IFERROR(__xludf.DUMMYFUNCTION("""COMPUTED_VALUE"""),"-To explain that computer programs can be used to compare data visually")</f>
        <v>-To explain that computer programs can be used to compare data visually</v>
      </c>
      <c r="F97" s="31" t="str">
        <f ca="1">IFERROR(__xludf.DUMMYFUNCTION("""COMPUTED_VALUE""")," -I can explain the benefits of using a computer to create charts
- I can refine a chart by selecting a particular filter
- I can select an appropriate chart to visually compare data")</f>
        <v xml:space="preserve"> -I can explain the benefits of using a computer to create charts
- I can refine a chart by selecting a particular filter
- I can select an appropriate chart to visually compare data</v>
      </c>
      <c r="G97" s="56"/>
      <c r="H97" s="57"/>
      <c r="I97" s="57"/>
      <c r="J97" s="57"/>
      <c r="K97" s="33" t="b">
        <f ca="1">IFERROR(__xludf.DUMMYFUNCTION("""COMPUTED_VALUE"""),TRUE)</f>
        <v>1</v>
      </c>
      <c r="L97" s="33" t="b">
        <f ca="1">IFERROR(__xludf.DUMMYFUNCTION("""COMPUTED_VALUE"""),TRUE)</f>
        <v>1</v>
      </c>
      <c r="M97" s="58"/>
      <c r="N97" s="56"/>
      <c r="O97" s="57"/>
      <c r="P97" s="57"/>
      <c r="Q97" s="57"/>
      <c r="R97" s="33" t="b">
        <f ca="1">IFERROR(__xludf.DUMMYFUNCTION("""COMPUTED_VALUE"""),TRUE)</f>
        <v>1</v>
      </c>
      <c r="S97" s="33" t="b">
        <f ca="1">IFERROR(__xludf.DUMMYFUNCTION("""COMPUTED_VALUE"""),TRUE)</f>
        <v>1</v>
      </c>
      <c r="T97" s="57"/>
      <c r="U97" s="57"/>
      <c r="V97" s="57"/>
      <c r="W97" s="58"/>
      <c r="X97" s="72"/>
      <c r="Y97" s="95"/>
      <c r="Z97" s="60">
        <f ca="1">IFERROR(__xludf.DUMMYFUNCTION("ArrayFormula(mod(COUNTUNIQUE($C$3:C97),2))"),0)</f>
        <v>0</v>
      </c>
    </row>
    <row r="98" spans="1:26" ht="56">
      <c r="A98" s="38">
        <f ca="1">IFERROR(__xludf.DUMMYFUNCTION("""COMPUTED_VALUE"""),5)</f>
        <v>5</v>
      </c>
      <c r="B98" s="38">
        <f ca="1">IFERROR(__xludf.DUMMYFUNCTION("""COMPUTED_VALUE"""),4)</f>
        <v>4</v>
      </c>
      <c r="C98" s="39" t="str">
        <f ca="1">IFERROR(__xludf.DUMMYFUNCTION("""COMPUTED_VALUE"""),"Data and information – Flat-file databases")</f>
        <v>Data and information – Flat-file databases</v>
      </c>
      <c r="D98" s="38">
        <f ca="1">IFERROR(__xludf.DUMMYFUNCTION("""COMPUTED_VALUE"""),6)</f>
        <v>6</v>
      </c>
      <c r="E98" s="39" t="str">
        <f ca="1">IFERROR(__xludf.DUMMYFUNCTION("""COMPUTED_VALUE"""),"-To use a real-world database to answer questions")</f>
        <v>-To use a real-world database to answer questions</v>
      </c>
      <c r="F98" s="40" t="str">
        <f ca="1">IFERROR(__xludf.DUMMYFUNCTION("""COMPUTED_VALUE""")," -I can ask questions that will need more than one field to answer
- I can present my findings to a group
- I can refine a search in a real-world context ")</f>
        <v xml:space="preserve"> -I can ask questions that will need more than one field to answer
- I can present my findings to a group
- I can refine a search in a real-world context </v>
      </c>
      <c r="G98" s="61"/>
      <c r="H98" s="62"/>
      <c r="I98" s="62"/>
      <c r="J98" s="62"/>
      <c r="K98" s="42" t="b">
        <f ca="1">IFERROR(__xludf.DUMMYFUNCTION("""COMPUTED_VALUE"""),TRUE)</f>
        <v>1</v>
      </c>
      <c r="L98" s="42" t="b">
        <f ca="1">IFERROR(__xludf.DUMMYFUNCTION("""COMPUTED_VALUE"""),TRUE)</f>
        <v>1</v>
      </c>
      <c r="M98" s="63"/>
      <c r="N98" s="61"/>
      <c r="O98" s="62"/>
      <c r="P98" s="62"/>
      <c r="Q98" s="62"/>
      <c r="R98" s="42" t="b">
        <f ca="1">IFERROR(__xludf.DUMMYFUNCTION("""COMPUTED_VALUE"""),TRUE)</f>
        <v>1</v>
      </c>
      <c r="S98" s="42" t="b">
        <f ca="1">IFERROR(__xludf.DUMMYFUNCTION("""COMPUTED_VALUE"""),TRUE)</f>
        <v>1</v>
      </c>
      <c r="T98" s="62"/>
      <c r="U98" s="62"/>
      <c r="V98" s="62"/>
      <c r="W98" s="63"/>
      <c r="X98" s="73"/>
      <c r="Y98" s="96"/>
      <c r="Z98" s="65">
        <f ca="1">IFERROR(__xludf.DUMMYFUNCTION("ArrayFormula(mod(COUNTUNIQUE($C$3:C98),2))"),0)</f>
        <v>0</v>
      </c>
    </row>
    <row r="99" spans="1:26" ht="70">
      <c r="A99" s="47">
        <f ca="1">IFERROR(__xludf.DUMMYFUNCTION("""COMPUTED_VALUE"""),5)</f>
        <v>5</v>
      </c>
      <c r="B99" s="47">
        <f ca="1">IFERROR(__xludf.DUMMYFUNCTION("""COMPUTED_VALUE"""),5)</f>
        <v>5</v>
      </c>
      <c r="C99" s="48" t="str">
        <f ca="1">IFERROR(__xludf.DUMMYFUNCTION("""COMPUTED_VALUE"""),"Creating media – Introduction to vector graphics")</f>
        <v>Creating media – Introduction to vector graphics</v>
      </c>
      <c r="D99" s="47">
        <f ca="1">IFERROR(__xludf.DUMMYFUNCTION("""COMPUTED_VALUE"""),1)</f>
        <v>1</v>
      </c>
      <c r="E99" s="48" t="str">
        <f ca="1">IFERROR(__xludf.DUMMYFUNCTION("""COMPUTED_VALUE"""),"-To identify that drawing tools can be used to produce different outcomes")</f>
        <v>-To identify that drawing tools can be used to produce different outcomes</v>
      </c>
      <c r="F99" s="49" t="str">
        <f ca="1">IFERROR(__xludf.DUMMYFUNCTION("""COMPUTED_VALUE""")," -I can discuss how vector drawings are different from paper-based drawings
- I can experiment with the shape and line tools
- I can recognise that vector drawings are made using shapes")</f>
        <v xml:space="preserve"> -I can discuss how vector drawings are different from paper-based drawings
- I can experiment with the shape and line tools
- I can recognise that vector drawings are made using shapes</v>
      </c>
      <c r="G99" s="66"/>
      <c r="H99" s="67"/>
      <c r="I99" s="67"/>
      <c r="J99" s="67"/>
      <c r="K99" s="67"/>
      <c r="L99" s="67" t="b">
        <f ca="1">IFERROR(__xludf.DUMMYFUNCTION("""COMPUTED_VALUE"""),TRUE)</f>
        <v>1</v>
      </c>
      <c r="M99" s="68"/>
      <c r="N99" s="66"/>
      <c r="O99" s="67" t="b">
        <f ca="1">IFERROR(__xludf.DUMMYFUNCTION("""COMPUTED_VALUE"""),TRUE)</f>
        <v>1</v>
      </c>
      <c r="P99" s="67"/>
      <c r="Q99" s="67"/>
      <c r="R99" s="67" t="b">
        <f ca="1">IFERROR(__xludf.DUMMYFUNCTION("""COMPUTED_VALUE"""),TRUE)</f>
        <v>1</v>
      </c>
      <c r="S99" s="67" t="b">
        <f ca="1">IFERROR(__xludf.DUMMYFUNCTION("""COMPUTED_VALUE"""),TRUE)</f>
        <v>1</v>
      </c>
      <c r="T99" s="67"/>
      <c r="U99" s="67"/>
      <c r="V99" s="67"/>
      <c r="W99" s="68"/>
      <c r="X99" s="54"/>
      <c r="Y99" s="90" t="s">
        <v>55</v>
      </c>
      <c r="Z99" s="70">
        <f ca="1">IFERROR(__xludf.DUMMYFUNCTION("ArrayFormula(mod(COUNTUNIQUE($C$3:C99),2))"),1)</f>
        <v>1</v>
      </c>
    </row>
    <row r="100" spans="1:26" ht="84">
      <c r="A100" s="29">
        <f ca="1">IFERROR(__xludf.DUMMYFUNCTION("""COMPUTED_VALUE"""),5)</f>
        <v>5</v>
      </c>
      <c r="B100" s="29">
        <f ca="1">IFERROR(__xludf.DUMMYFUNCTION("""COMPUTED_VALUE"""),5)</f>
        <v>5</v>
      </c>
      <c r="C100" s="30" t="str">
        <f ca="1">IFERROR(__xludf.DUMMYFUNCTION("""COMPUTED_VALUE"""),"Creating media – Introduction to vector graphics")</f>
        <v>Creating media – Introduction to vector graphics</v>
      </c>
      <c r="D100" s="29">
        <f ca="1">IFERROR(__xludf.DUMMYFUNCTION("""COMPUTED_VALUE"""),2)</f>
        <v>2</v>
      </c>
      <c r="E100" s="30" t="str">
        <f ca="1">IFERROR(__xludf.DUMMYFUNCTION("""COMPUTED_VALUE"""),"-To create a vector drawing by combining shapes")</f>
        <v>-To create a vector drawing by combining shapes</v>
      </c>
      <c r="F100" s="31" t="str">
        <f ca="1">IFERROR(__xludf.DUMMYFUNCTION("""COMPUTED_VALUE""")," -I can explain that each element added to a vector drawing is an object
- I can identify the shapes used to make a vector drawing
- I can move, resize, and rotate objects I have duplicated")</f>
        <v xml:space="preserve"> -I can explain that each element added to a vector drawing is an object
- I can identify the shapes used to make a vector drawing
- I can move, resize, and rotate objects I have duplicated</v>
      </c>
      <c r="G100" s="32"/>
      <c r="H100" s="34"/>
      <c r="I100" s="34"/>
      <c r="J100" s="34"/>
      <c r="K100" s="34"/>
      <c r="L100" s="34" t="b">
        <f ca="1">IFERROR(__xludf.DUMMYFUNCTION("""COMPUTED_VALUE"""),TRUE)</f>
        <v>1</v>
      </c>
      <c r="M100" s="35"/>
      <c r="N100" s="32"/>
      <c r="O100" s="34" t="b">
        <f ca="1">IFERROR(__xludf.DUMMYFUNCTION("""COMPUTED_VALUE"""),TRUE)</f>
        <v>1</v>
      </c>
      <c r="P100" s="34"/>
      <c r="Q100" s="34"/>
      <c r="R100" s="34"/>
      <c r="S100" s="34" t="b">
        <f ca="1">IFERROR(__xludf.DUMMYFUNCTION("""COMPUTED_VALUE"""),TRUE)</f>
        <v>1</v>
      </c>
      <c r="T100" s="34"/>
      <c r="U100" s="34"/>
      <c r="V100" s="34"/>
      <c r="W100" s="35"/>
      <c r="X100" s="59"/>
      <c r="Y100" s="91" t="s">
        <v>55</v>
      </c>
      <c r="Z100" s="37">
        <f ca="1">IFERROR(__xludf.DUMMYFUNCTION("ArrayFormula(mod(COUNTUNIQUE($C$3:C100),2))"),1)</f>
        <v>1</v>
      </c>
    </row>
    <row r="101" spans="1:26" ht="70">
      <c r="A101" s="29">
        <f ca="1">IFERROR(__xludf.DUMMYFUNCTION("""COMPUTED_VALUE"""),5)</f>
        <v>5</v>
      </c>
      <c r="B101" s="29">
        <f ca="1">IFERROR(__xludf.DUMMYFUNCTION("""COMPUTED_VALUE"""),5)</f>
        <v>5</v>
      </c>
      <c r="C101" s="30" t="str">
        <f ca="1">IFERROR(__xludf.DUMMYFUNCTION("""COMPUTED_VALUE"""),"Creating media – Introduction to vector graphics")</f>
        <v>Creating media – Introduction to vector graphics</v>
      </c>
      <c r="D101" s="29">
        <f ca="1">IFERROR(__xludf.DUMMYFUNCTION("""COMPUTED_VALUE"""),3)</f>
        <v>3</v>
      </c>
      <c r="E101" s="30" t="str">
        <f ca="1">IFERROR(__xludf.DUMMYFUNCTION("""COMPUTED_VALUE"""),"-To use tools to achieve a desired effect")</f>
        <v>-To use tools to achieve a desired effect</v>
      </c>
      <c r="F101" s="31" t="str">
        <f ca="1">IFERROR(__xludf.DUMMYFUNCTION("""COMPUTED_VALUE""")," -I  can explain how alignment grids and resize handles can be used to improve consistency
- I can modify objects to create a new image
- I can use the zoom tool to help me add detail to my drawings")</f>
        <v xml:space="preserve"> -I  can explain how alignment grids and resize handles can be used to improve consistency
- I can modify objects to create a new image
- I can use the zoom tool to help me add detail to my drawings</v>
      </c>
      <c r="G101" s="32"/>
      <c r="H101" s="34"/>
      <c r="I101" s="34"/>
      <c r="J101" s="34"/>
      <c r="K101" s="34"/>
      <c r="L101" s="34" t="b">
        <f ca="1">IFERROR(__xludf.DUMMYFUNCTION("""COMPUTED_VALUE"""),TRUE)</f>
        <v>1</v>
      </c>
      <c r="M101" s="35"/>
      <c r="N101" s="32"/>
      <c r="O101" s="34" t="b">
        <f ca="1">IFERROR(__xludf.DUMMYFUNCTION("""COMPUTED_VALUE"""),TRUE)</f>
        <v>1</v>
      </c>
      <c r="P101" s="34"/>
      <c r="Q101" s="34"/>
      <c r="R101" s="34"/>
      <c r="S101" s="34" t="b">
        <f ca="1">IFERROR(__xludf.DUMMYFUNCTION("""COMPUTED_VALUE"""),TRUE)</f>
        <v>1</v>
      </c>
      <c r="T101" s="34"/>
      <c r="U101" s="34"/>
      <c r="V101" s="34"/>
      <c r="W101" s="35"/>
      <c r="X101" s="59"/>
      <c r="Y101" s="91" t="s">
        <v>55</v>
      </c>
      <c r="Z101" s="37">
        <f ca="1">IFERROR(__xludf.DUMMYFUNCTION("ArrayFormula(mod(COUNTUNIQUE($C$3:C101),2))"),1)</f>
        <v>1</v>
      </c>
    </row>
    <row r="102" spans="1:26" ht="56">
      <c r="A102" s="29">
        <f ca="1">IFERROR(__xludf.DUMMYFUNCTION("""COMPUTED_VALUE"""),5)</f>
        <v>5</v>
      </c>
      <c r="B102" s="29">
        <f ca="1">IFERROR(__xludf.DUMMYFUNCTION("""COMPUTED_VALUE"""),5)</f>
        <v>5</v>
      </c>
      <c r="C102" s="30" t="str">
        <f ca="1">IFERROR(__xludf.DUMMYFUNCTION("""COMPUTED_VALUE"""),"Creating media – Introduction to vector graphics")</f>
        <v>Creating media – Introduction to vector graphics</v>
      </c>
      <c r="D102" s="29">
        <f ca="1">IFERROR(__xludf.DUMMYFUNCTION("""COMPUTED_VALUE"""),4)</f>
        <v>4</v>
      </c>
      <c r="E102" s="30" t="str">
        <f ca="1">IFERROR(__xludf.DUMMYFUNCTION("""COMPUTED_VALUE"""),"-To recognise that vector drawings consist of layers")</f>
        <v>-To recognise that vector drawings consist of layers</v>
      </c>
      <c r="F102" s="31" t="str">
        <f ca="1">IFERROR(__xludf.DUMMYFUNCTION("""COMPUTED_VALUE""")," -I can change the order of layers in a vector drawing
- I can identify that each added object creates a new layer in the drawing
- I can use layering to create an image")</f>
        <v xml:space="preserve"> -I can change the order of layers in a vector drawing
- I can identify that each added object creates a new layer in the drawing
- I can use layering to create an image</v>
      </c>
      <c r="G102" s="32"/>
      <c r="H102" s="34"/>
      <c r="I102" s="34"/>
      <c r="J102" s="34"/>
      <c r="K102" s="34"/>
      <c r="L102" s="34" t="b">
        <f ca="1">IFERROR(__xludf.DUMMYFUNCTION("""COMPUTED_VALUE"""),TRUE)</f>
        <v>1</v>
      </c>
      <c r="M102" s="35"/>
      <c r="N102" s="32"/>
      <c r="O102" s="34" t="b">
        <f ca="1">IFERROR(__xludf.DUMMYFUNCTION("""COMPUTED_VALUE"""),TRUE)</f>
        <v>1</v>
      </c>
      <c r="P102" s="34"/>
      <c r="Q102" s="34"/>
      <c r="R102" s="34"/>
      <c r="S102" s="34" t="b">
        <f ca="1">IFERROR(__xludf.DUMMYFUNCTION("""COMPUTED_VALUE"""),TRUE)</f>
        <v>1</v>
      </c>
      <c r="T102" s="34"/>
      <c r="U102" s="34"/>
      <c r="V102" s="34"/>
      <c r="W102" s="35"/>
      <c r="X102" s="59"/>
      <c r="Y102" s="91" t="s">
        <v>55</v>
      </c>
      <c r="Z102" s="37">
        <f ca="1">IFERROR(__xludf.DUMMYFUNCTION("ArrayFormula(mod(COUNTUNIQUE($C$3:C102),2))"),1)</f>
        <v>1</v>
      </c>
    </row>
    <row r="103" spans="1:26" ht="84">
      <c r="A103" s="29">
        <f ca="1">IFERROR(__xludf.DUMMYFUNCTION("""COMPUTED_VALUE"""),5)</f>
        <v>5</v>
      </c>
      <c r="B103" s="29">
        <f ca="1">IFERROR(__xludf.DUMMYFUNCTION("""COMPUTED_VALUE"""),5)</f>
        <v>5</v>
      </c>
      <c r="C103" s="30" t="str">
        <f ca="1">IFERROR(__xludf.DUMMYFUNCTION("""COMPUTED_VALUE"""),"Creating media – Introduction to vector graphics")</f>
        <v>Creating media – Introduction to vector graphics</v>
      </c>
      <c r="D103" s="29">
        <f ca="1">IFERROR(__xludf.DUMMYFUNCTION("""COMPUTED_VALUE"""),5)</f>
        <v>5</v>
      </c>
      <c r="E103" s="30" t="str">
        <f ca="1">IFERROR(__xludf.DUMMYFUNCTION("""COMPUTED_VALUE"""),"-To group objects to make them easier to work with")</f>
        <v>-To group objects to make them easier to work with</v>
      </c>
      <c r="F103" s="31" t="str">
        <f ca="1">IFERROR(__xludf.DUMMYFUNCTION("""COMPUTED_VALUE""")," -I can copy part of a drawing by duplicating several objects
- I can recognise when I need to group and ungroup objects
- I can reuse a group of objects to further develop my vector drawing")</f>
        <v xml:space="preserve"> -I can copy part of a drawing by duplicating several objects
- I can recognise when I need to group and ungroup objects
- I can reuse a group of objects to further develop my vector drawing</v>
      </c>
      <c r="G103" s="32"/>
      <c r="H103" s="34"/>
      <c r="I103" s="34"/>
      <c r="J103" s="34"/>
      <c r="K103" s="34"/>
      <c r="L103" s="34" t="b">
        <f ca="1">IFERROR(__xludf.DUMMYFUNCTION("""COMPUTED_VALUE"""),TRUE)</f>
        <v>1</v>
      </c>
      <c r="M103" s="35"/>
      <c r="N103" s="32"/>
      <c r="O103" s="34" t="b">
        <f ca="1">IFERROR(__xludf.DUMMYFUNCTION("""COMPUTED_VALUE"""),TRUE)</f>
        <v>1</v>
      </c>
      <c r="P103" s="34"/>
      <c r="Q103" s="34"/>
      <c r="R103" s="34"/>
      <c r="S103" s="34" t="b">
        <f ca="1">IFERROR(__xludf.DUMMYFUNCTION("""COMPUTED_VALUE"""),TRUE)</f>
        <v>1</v>
      </c>
      <c r="T103" s="34"/>
      <c r="U103" s="34"/>
      <c r="V103" s="34"/>
      <c r="W103" s="35"/>
      <c r="X103" s="59"/>
      <c r="Y103" s="91" t="s">
        <v>55</v>
      </c>
      <c r="Z103" s="37">
        <f ca="1">IFERROR(__xludf.DUMMYFUNCTION("ArrayFormula(mod(COUNTUNIQUE($C$3:C103),2))"),1)</f>
        <v>1</v>
      </c>
    </row>
    <row r="104" spans="1:26" ht="70">
      <c r="A104" s="38">
        <f ca="1">IFERROR(__xludf.DUMMYFUNCTION("""COMPUTED_VALUE"""),5)</f>
        <v>5</v>
      </c>
      <c r="B104" s="38">
        <f ca="1">IFERROR(__xludf.DUMMYFUNCTION("""COMPUTED_VALUE"""),5)</f>
        <v>5</v>
      </c>
      <c r="C104" s="39" t="str">
        <f ca="1">IFERROR(__xludf.DUMMYFUNCTION("""COMPUTED_VALUE"""),"Creating media – Introduction to vector graphics")</f>
        <v>Creating media – Introduction to vector graphics</v>
      </c>
      <c r="D104" s="38">
        <f ca="1">IFERROR(__xludf.DUMMYFUNCTION("""COMPUTED_VALUE"""),6)</f>
        <v>6</v>
      </c>
      <c r="E104" s="39" t="str">
        <f ca="1">IFERROR(__xludf.DUMMYFUNCTION("""COMPUTED_VALUE"""),"-To apply what I have learned about vector drawings")</f>
        <v>-To apply what I have learned about vector drawings</v>
      </c>
      <c r="F104" s="40" t="str">
        <f ca="1">IFERROR(__xludf.DUMMYFUNCTION("""COMPUTED_VALUE""")," -I can compare vector drawings to freehand paint drawings
- I can create a vector drawing for a specific purpose
- I can reflect on the skills I have used and why I have used them")</f>
        <v xml:space="preserve"> -I can compare vector drawings to freehand paint drawings
- I can create a vector drawing for a specific purpose
- I can reflect on the skills I have used and why I have used them</v>
      </c>
      <c r="G104" s="41"/>
      <c r="H104" s="43"/>
      <c r="I104" s="43"/>
      <c r="J104" s="43"/>
      <c r="K104" s="43"/>
      <c r="L104" s="43" t="b">
        <f ca="1">IFERROR(__xludf.DUMMYFUNCTION("""COMPUTED_VALUE"""),TRUE)</f>
        <v>1</v>
      </c>
      <c r="M104" s="44"/>
      <c r="N104" s="41"/>
      <c r="O104" s="43" t="b">
        <f ca="1">IFERROR(__xludf.DUMMYFUNCTION("""COMPUTED_VALUE"""),TRUE)</f>
        <v>1</v>
      </c>
      <c r="P104" s="43"/>
      <c r="Q104" s="43" t="b">
        <f ca="1">IFERROR(__xludf.DUMMYFUNCTION("""COMPUTED_VALUE"""),TRUE)</f>
        <v>1</v>
      </c>
      <c r="R104" s="43"/>
      <c r="S104" s="43"/>
      <c r="T104" s="43"/>
      <c r="U104" s="43"/>
      <c r="V104" s="43"/>
      <c r="W104" s="44"/>
      <c r="X104" s="64"/>
      <c r="Y104" s="92" t="s">
        <v>55</v>
      </c>
      <c r="Z104" s="46">
        <f ca="1">IFERROR(__xludf.DUMMYFUNCTION("ArrayFormula(mod(COUNTUNIQUE($C$3:C104),2))"),1)</f>
        <v>1</v>
      </c>
    </row>
    <row r="105" spans="1:26" ht="42">
      <c r="A105" s="47">
        <f ca="1">IFERROR(__xludf.DUMMYFUNCTION("""COMPUTED_VALUE"""),5)</f>
        <v>5</v>
      </c>
      <c r="B105" s="47">
        <f ca="1">IFERROR(__xludf.DUMMYFUNCTION("""COMPUTED_VALUE"""),6)</f>
        <v>6</v>
      </c>
      <c r="C105" s="48" t="str">
        <f ca="1">IFERROR(__xludf.DUMMYFUNCTION("""COMPUTED_VALUE"""),"Programming B – Selection in quizzes")</f>
        <v>Programming B – Selection in quizzes</v>
      </c>
      <c r="D105" s="47">
        <f ca="1">IFERROR(__xludf.DUMMYFUNCTION("""COMPUTED_VALUE"""),1)</f>
        <v>1</v>
      </c>
      <c r="E105" s="48" t="str">
        <f ca="1">IFERROR(__xludf.DUMMYFUNCTION("""COMPUTED_VALUE"""),"-To explain how selection is used in computer programs")</f>
        <v>-To explain how selection is used in computer programs</v>
      </c>
      <c r="F105" s="49" t="str">
        <f ca="1">IFERROR(__xludf.DUMMYFUNCTION("""COMPUTED_VALUE""")," -I can identify conditions in a program
- I can modify a condition in a program
- I can recall how conditions are used in selection")</f>
        <v xml:space="preserve"> -I can identify conditions in a program
- I can modify a condition in a program
- I can recall how conditions are used in selection</v>
      </c>
      <c r="G105" s="74" t="b">
        <f ca="1">IFERROR(__xludf.DUMMYFUNCTION("""COMPUTED_VALUE"""),TRUE)</f>
        <v>1</v>
      </c>
      <c r="H105" s="52" t="b">
        <f ca="1">IFERROR(__xludf.DUMMYFUNCTION("""COMPUTED_VALUE"""),TRUE)</f>
        <v>1</v>
      </c>
      <c r="I105" s="52" t="b">
        <f ca="1">IFERROR(__xludf.DUMMYFUNCTION("""COMPUTED_VALUE"""),TRUE)</f>
        <v>1</v>
      </c>
      <c r="J105" s="51"/>
      <c r="K105" s="51"/>
      <c r="L105" s="52" t="b">
        <f ca="1">IFERROR(__xludf.DUMMYFUNCTION("""COMPUTED_VALUE"""),TRUE)</f>
        <v>1</v>
      </c>
      <c r="M105" s="53"/>
      <c r="N105" s="74" t="b">
        <f ca="1">IFERROR(__xludf.DUMMYFUNCTION("""COMPUTED_VALUE"""),TRUE)</f>
        <v>1</v>
      </c>
      <c r="O105" s="51"/>
      <c r="P105" s="51"/>
      <c r="Q105" s="51"/>
      <c r="R105" s="51"/>
      <c r="S105" s="51"/>
      <c r="T105" s="51"/>
      <c r="U105" s="51"/>
      <c r="V105" s="52" t="b">
        <f ca="1">IFERROR(__xludf.DUMMYFUNCTION("""COMPUTED_VALUE"""),TRUE)</f>
        <v>1</v>
      </c>
      <c r="W105" s="53"/>
      <c r="X105" s="71"/>
      <c r="Y105" s="94"/>
      <c r="Z105" s="55">
        <f ca="1">IFERROR(__xludf.DUMMYFUNCTION("ArrayFormula(mod(COUNTUNIQUE($C$3:C105),2))"),0)</f>
        <v>0</v>
      </c>
    </row>
    <row r="106" spans="1:26" ht="84">
      <c r="A106" s="29">
        <f ca="1">IFERROR(__xludf.DUMMYFUNCTION("""COMPUTED_VALUE"""),5)</f>
        <v>5</v>
      </c>
      <c r="B106" s="29">
        <f ca="1">IFERROR(__xludf.DUMMYFUNCTION("""COMPUTED_VALUE"""),6)</f>
        <v>6</v>
      </c>
      <c r="C106" s="30" t="str">
        <f ca="1">IFERROR(__xludf.DUMMYFUNCTION("""COMPUTED_VALUE"""),"Programming B – Selection in quizzes")</f>
        <v>Programming B – Selection in quizzes</v>
      </c>
      <c r="D106" s="29">
        <f ca="1">IFERROR(__xludf.DUMMYFUNCTION("""COMPUTED_VALUE"""),2)</f>
        <v>2</v>
      </c>
      <c r="E106" s="30" t="str">
        <f ca="1">IFERROR(__xludf.DUMMYFUNCTION("""COMPUTED_VALUE"""),"-To relate that a conditional statement connects a condition to an outcome")</f>
        <v>-To relate that a conditional statement connects a condition to an outcome</v>
      </c>
      <c r="F106" s="31" t="str">
        <f ca="1">IFERROR(__xludf.DUMMYFUNCTION("""COMPUTED_VALUE""")," -I can create a program with different outcomes using selection
- I can identify the condition and outcomes in an 'if... then… else...' statement
- I can use selection in an infinite loop to check a condition")</f>
        <v xml:space="preserve"> -I can create a program with different outcomes using selection
- I can identify the condition and outcomes in an 'if... then… else...' statement
- I can use selection in an infinite loop to check a condition</v>
      </c>
      <c r="G106" s="75" t="b">
        <f ca="1">IFERROR(__xludf.DUMMYFUNCTION("""COMPUTED_VALUE"""),TRUE)</f>
        <v>1</v>
      </c>
      <c r="H106" s="33" t="b">
        <f ca="1">IFERROR(__xludf.DUMMYFUNCTION("""COMPUTED_VALUE"""),TRUE)</f>
        <v>1</v>
      </c>
      <c r="I106" s="33" t="b">
        <f ca="1">IFERROR(__xludf.DUMMYFUNCTION("""COMPUTED_VALUE"""),TRUE)</f>
        <v>1</v>
      </c>
      <c r="J106" s="57"/>
      <c r="K106" s="57"/>
      <c r="L106" s="33" t="b">
        <f ca="1">IFERROR(__xludf.DUMMYFUNCTION("""COMPUTED_VALUE"""),TRUE)</f>
        <v>1</v>
      </c>
      <c r="M106" s="58"/>
      <c r="N106" s="75" t="b">
        <f ca="1">IFERROR(__xludf.DUMMYFUNCTION("""COMPUTED_VALUE"""),TRUE)</f>
        <v>1</v>
      </c>
      <c r="O106" s="57"/>
      <c r="P106" s="57"/>
      <c r="Q106" s="57"/>
      <c r="R106" s="57"/>
      <c r="S106" s="57"/>
      <c r="T106" s="57"/>
      <c r="U106" s="57"/>
      <c r="V106" s="33" t="b">
        <f ca="1">IFERROR(__xludf.DUMMYFUNCTION("""COMPUTED_VALUE"""),TRUE)</f>
        <v>1</v>
      </c>
      <c r="W106" s="58"/>
      <c r="X106" s="72"/>
      <c r="Y106" s="95"/>
      <c r="Z106" s="60">
        <f ca="1">IFERROR(__xludf.DUMMYFUNCTION("ArrayFormula(mod(COUNTUNIQUE($C$3:C106),2))"),0)</f>
        <v>0</v>
      </c>
    </row>
    <row r="107" spans="1:26" ht="84">
      <c r="A107" s="29">
        <f ca="1">IFERROR(__xludf.DUMMYFUNCTION("""COMPUTED_VALUE"""),5)</f>
        <v>5</v>
      </c>
      <c r="B107" s="29">
        <f ca="1">IFERROR(__xludf.DUMMYFUNCTION("""COMPUTED_VALUE"""),6)</f>
        <v>6</v>
      </c>
      <c r="C107" s="30" t="str">
        <f ca="1">IFERROR(__xludf.DUMMYFUNCTION("""COMPUTED_VALUE"""),"Programming B – Selection in quizzes")</f>
        <v>Programming B – Selection in quizzes</v>
      </c>
      <c r="D107" s="29">
        <f ca="1">IFERROR(__xludf.DUMMYFUNCTION("""COMPUTED_VALUE"""),3)</f>
        <v>3</v>
      </c>
      <c r="E107" s="30" t="str">
        <f ca="1">IFERROR(__xludf.DUMMYFUNCTION("""COMPUTED_VALUE"""),"-To explain how selection directs the flow of a program")</f>
        <v>-To explain how selection directs the flow of a program</v>
      </c>
      <c r="F107" s="31" t="str">
        <f ca="1">IFERROR(__xludf.DUMMYFUNCTION("""COMPUTED_VALUE""")," -I can design the flow of a program which contains ‘if… then… else…’
- I can explain that program flow can branch according to a condition
- I can show that a condition can direct program flow in one of two ways")</f>
        <v xml:space="preserve"> -I can design the flow of a program which contains ‘if… then… else…’
- I can explain that program flow can branch according to a condition
- I can show that a condition can direct program flow in one of two ways</v>
      </c>
      <c r="G107" s="75" t="b">
        <f ca="1">IFERROR(__xludf.DUMMYFUNCTION("""COMPUTED_VALUE"""),TRUE)</f>
        <v>1</v>
      </c>
      <c r="H107" s="33" t="b">
        <f ca="1">IFERROR(__xludf.DUMMYFUNCTION("""COMPUTED_VALUE"""),TRUE)</f>
        <v>1</v>
      </c>
      <c r="I107" s="33" t="b">
        <f ca="1">IFERROR(__xludf.DUMMYFUNCTION("""COMPUTED_VALUE"""),TRUE)</f>
        <v>1</v>
      </c>
      <c r="J107" s="57"/>
      <c r="K107" s="57"/>
      <c r="L107" s="33" t="b">
        <f ca="1">IFERROR(__xludf.DUMMYFUNCTION("""COMPUTED_VALUE"""),TRUE)</f>
        <v>1</v>
      </c>
      <c r="M107" s="58"/>
      <c r="N107" s="75" t="b">
        <f ca="1">IFERROR(__xludf.DUMMYFUNCTION("""COMPUTED_VALUE"""),TRUE)</f>
        <v>1</v>
      </c>
      <c r="O107" s="57"/>
      <c r="P107" s="57"/>
      <c r="Q107" s="57"/>
      <c r="R107" s="57"/>
      <c r="S107" s="57"/>
      <c r="T107" s="57"/>
      <c r="U107" s="57"/>
      <c r="V107" s="33" t="b">
        <f ca="1">IFERROR(__xludf.DUMMYFUNCTION("""COMPUTED_VALUE"""),TRUE)</f>
        <v>1</v>
      </c>
      <c r="W107" s="58"/>
      <c r="X107" s="72"/>
      <c r="Y107" s="95"/>
      <c r="Z107" s="60">
        <f ca="1">IFERROR(__xludf.DUMMYFUNCTION("ArrayFormula(mod(COUNTUNIQUE($C$3:C107),2))"),0)</f>
        <v>0</v>
      </c>
    </row>
    <row r="108" spans="1:26" ht="56">
      <c r="A108" s="29">
        <f ca="1">IFERROR(__xludf.DUMMYFUNCTION("""COMPUTED_VALUE"""),5)</f>
        <v>5</v>
      </c>
      <c r="B108" s="29">
        <f ca="1">IFERROR(__xludf.DUMMYFUNCTION("""COMPUTED_VALUE"""),6)</f>
        <v>6</v>
      </c>
      <c r="C108" s="30" t="str">
        <f ca="1">IFERROR(__xludf.DUMMYFUNCTION("""COMPUTED_VALUE"""),"Programming B – Selection in quizzes")</f>
        <v>Programming B – Selection in quizzes</v>
      </c>
      <c r="D108" s="29">
        <f ca="1">IFERROR(__xludf.DUMMYFUNCTION("""COMPUTED_VALUE"""),4)</f>
        <v>4</v>
      </c>
      <c r="E108" s="30" t="str">
        <f ca="1">IFERROR(__xludf.DUMMYFUNCTION("""COMPUTED_VALUE"""),"-To design a program which uses selection")</f>
        <v>-To design a program which uses selection</v>
      </c>
      <c r="F108" s="31" t="str">
        <f ca="1">IFERROR(__xludf.DUMMYFUNCTION("""COMPUTED_VALUE""")," -I can identify the outcome of user input in an algorithm
- I can outline a given task
- I can use a design format to outline my project")</f>
        <v xml:space="preserve"> -I can identify the outcome of user input in an algorithm
- I can outline a given task
- I can use a design format to outline my project</v>
      </c>
      <c r="G108" s="75" t="b">
        <f ca="1">IFERROR(__xludf.DUMMYFUNCTION("""COMPUTED_VALUE"""),TRUE)</f>
        <v>1</v>
      </c>
      <c r="H108" s="33" t="b">
        <f ca="1">IFERROR(__xludf.DUMMYFUNCTION("""COMPUTED_VALUE"""),TRUE)</f>
        <v>1</v>
      </c>
      <c r="I108" s="33" t="b">
        <f ca="1">IFERROR(__xludf.DUMMYFUNCTION("""COMPUTED_VALUE"""),TRUE)</f>
        <v>1</v>
      </c>
      <c r="J108" s="57"/>
      <c r="K108" s="57"/>
      <c r="L108" s="33" t="b">
        <f ca="1">IFERROR(__xludf.DUMMYFUNCTION("""COMPUTED_VALUE"""),TRUE)</f>
        <v>1</v>
      </c>
      <c r="M108" s="58"/>
      <c r="N108" s="56"/>
      <c r="O108" s="57"/>
      <c r="P108" s="57"/>
      <c r="Q108" s="33" t="b">
        <f ca="1">IFERROR(__xludf.DUMMYFUNCTION("""COMPUTED_VALUE"""),TRUE)</f>
        <v>1</v>
      </c>
      <c r="R108" s="57"/>
      <c r="S108" s="57"/>
      <c r="T108" s="57"/>
      <c r="U108" s="57"/>
      <c r="V108" s="33" t="b">
        <f ca="1">IFERROR(__xludf.DUMMYFUNCTION("""COMPUTED_VALUE"""),TRUE)</f>
        <v>1</v>
      </c>
      <c r="W108" s="58"/>
      <c r="X108" s="72"/>
      <c r="Y108" s="95"/>
      <c r="Z108" s="60">
        <f ca="1">IFERROR(__xludf.DUMMYFUNCTION("ArrayFormula(mod(COUNTUNIQUE($C$3:C108),2))"),0)</f>
        <v>0</v>
      </c>
    </row>
    <row r="109" spans="1:26" ht="56">
      <c r="A109" s="29">
        <f ca="1">IFERROR(__xludf.DUMMYFUNCTION("""COMPUTED_VALUE"""),5)</f>
        <v>5</v>
      </c>
      <c r="B109" s="29">
        <f ca="1">IFERROR(__xludf.DUMMYFUNCTION("""COMPUTED_VALUE"""),6)</f>
        <v>6</v>
      </c>
      <c r="C109" s="30" t="str">
        <f ca="1">IFERROR(__xludf.DUMMYFUNCTION("""COMPUTED_VALUE"""),"Programming B – Selection in quizzes")</f>
        <v>Programming B – Selection in quizzes</v>
      </c>
      <c r="D109" s="29">
        <f ca="1">IFERROR(__xludf.DUMMYFUNCTION("""COMPUTED_VALUE"""),5)</f>
        <v>5</v>
      </c>
      <c r="E109" s="30" t="str">
        <f ca="1">IFERROR(__xludf.DUMMYFUNCTION("""COMPUTED_VALUE"""),"-To create a program which uses selection")</f>
        <v>-To create a program which uses selection</v>
      </c>
      <c r="F109" s="31" t="str">
        <f ca="1">IFERROR(__xludf.DUMMYFUNCTION("""COMPUTED_VALUE""")," -I can implement my algorithm to create the first section of my program
- I can share my program with others
- I can test my program")</f>
        <v xml:space="preserve"> -I can implement my algorithm to create the first section of my program
- I can share my program with others
- I can test my program</v>
      </c>
      <c r="G109" s="75" t="b">
        <f ca="1">IFERROR(__xludf.DUMMYFUNCTION("""COMPUTED_VALUE"""),TRUE)</f>
        <v>1</v>
      </c>
      <c r="H109" s="33" t="b">
        <f ca="1">IFERROR(__xludf.DUMMYFUNCTION("""COMPUTED_VALUE"""),TRUE)</f>
        <v>1</v>
      </c>
      <c r="I109" s="33" t="b">
        <f ca="1">IFERROR(__xludf.DUMMYFUNCTION("""COMPUTED_VALUE"""),TRUE)</f>
        <v>1</v>
      </c>
      <c r="J109" s="57"/>
      <c r="K109" s="57"/>
      <c r="L109" s="33" t="b">
        <f ca="1">IFERROR(__xludf.DUMMYFUNCTION("""COMPUTED_VALUE"""),TRUE)</f>
        <v>1</v>
      </c>
      <c r="M109" s="58"/>
      <c r="N109" s="56"/>
      <c r="O109" s="57"/>
      <c r="P109" s="57"/>
      <c r="Q109" s="33" t="b">
        <f ca="1">IFERROR(__xludf.DUMMYFUNCTION("""COMPUTED_VALUE"""),TRUE)</f>
        <v>1</v>
      </c>
      <c r="R109" s="57"/>
      <c r="S109" s="57"/>
      <c r="T109" s="57"/>
      <c r="U109" s="57"/>
      <c r="V109" s="33" t="b">
        <f ca="1">IFERROR(__xludf.DUMMYFUNCTION("""COMPUTED_VALUE"""),TRUE)</f>
        <v>1</v>
      </c>
      <c r="W109" s="58"/>
      <c r="X109" s="72"/>
      <c r="Y109" s="95"/>
      <c r="Z109" s="60">
        <f ca="1">IFERROR(__xludf.DUMMYFUNCTION("ArrayFormula(mod(COUNTUNIQUE($C$3:C109),2))"),0)</f>
        <v>0</v>
      </c>
    </row>
    <row r="110" spans="1:26" ht="42">
      <c r="A110" s="38">
        <f ca="1">IFERROR(__xludf.DUMMYFUNCTION("""COMPUTED_VALUE"""),5)</f>
        <v>5</v>
      </c>
      <c r="B110" s="38">
        <f ca="1">IFERROR(__xludf.DUMMYFUNCTION("""COMPUTED_VALUE"""),6)</f>
        <v>6</v>
      </c>
      <c r="C110" s="39" t="str">
        <f ca="1">IFERROR(__xludf.DUMMYFUNCTION("""COMPUTED_VALUE"""),"Programming B – Selection in quizzes")</f>
        <v>Programming B – Selection in quizzes</v>
      </c>
      <c r="D110" s="38">
        <f ca="1">IFERROR(__xludf.DUMMYFUNCTION("""COMPUTED_VALUE"""),6)</f>
        <v>6</v>
      </c>
      <c r="E110" s="39" t="str">
        <f ca="1">IFERROR(__xludf.DUMMYFUNCTION("""COMPUTED_VALUE"""),"-To evaluate my program")</f>
        <v>-To evaluate my program</v>
      </c>
      <c r="F110" s="40" t="str">
        <f ca="1">IFERROR(__xludf.DUMMYFUNCTION("""COMPUTED_VALUE""")," -I can extend my program further
- I can identify the setup code I need in my program
- I can identify ways the program could be improved")</f>
        <v xml:space="preserve"> -I can extend my program further
- I can identify the setup code I need in my program
- I can identify ways the program could be improved</v>
      </c>
      <c r="G110" s="76" t="b">
        <f ca="1">IFERROR(__xludf.DUMMYFUNCTION("""COMPUTED_VALUE"""),TRUE)</f>
        <v>1</v>
      </c>
      <c r="H110" s="42" t="b">
        <f ca="1">IFERROR(__xludf.DUMMYFUNCTION("""COMPUTED_VALUE"""),TRUE)</f>
        <v>1</v>
      </c>
      <c r="I110" s="42" t="b">
        <f ca="1">IFERROR(__xludf.DUMMYFUNCTION("""COMPUTED_VALUE"""),TRUE)</f>
        <v>1</v>
      </c>
      <c r="J110" s="62"/>
      <c r="K110" s="62"/>
      <c r="L110" s="42" t="b">
        <f ca="1">IFERROR(__xludf.DUMMYFUNCTION("""COMPUTED_VALUE"""),TRUE)</f>
        <v>1</v>
      </c>
      <c r="M110" s="63"/>
      <c r="N110" s="61"/>
      <c r="O110" s="62"/>
      <c r="P110" s="62"/>
      <c r="Q110" s="42" t="b">
        <f ca="1">IFERROR(__xludf.DUMMYFUNCTION("""COMPUTED_VALUE"""),TRUE)</f>
        <v>1</v>
      </c>
      <c r="R110" s="62"/>
      <c r="S110" s="62"/>
      <c r="T110" s="62"/>
      <c r="U110" s="62"/>
      <c r="V110" s="42" t="b">
        <f ca="1">IFERROR(__xludf.DUMMYFUNCTION("""COMPUTED_VALUE"""),TRUE)</f>
        <v>1</v>
      </c>
      <c r="W110" s="63"/>
      <c r="X110" s="73"/>
      <c r="Y110" s="96"/>
      <c r="Z110" s="65">
        <f ca="1">IFERROR(__xludf.DUMMYFUNCTION("ArrayFormula(mod(COUNTUNIQUE($C$3:C110),2))"),0)</f>
        <v>0</v>
      </c>
    </row>
    <row r="111" spans="1:26" ht="70">
      <c r="A111" s="47">
        <f ca="1">IFERROR(__xludf.DUMMYFUNCTION("""COMPUTED_VALUE"""),6)</f>
        <v>6</v>
      </c>
      <c r="B111" s="47">
        <f ca="1">IFERROR(__xludf.DUMMYFUNCTION("""COMPUTED_VALUE"""),1)</f>
        <v>1</v>
      </c>
      <c r="C111" s="48" t="str">
        <f ca="1">IFERROR(__xludf.DUMMYFUNCTION("""COMPUTED_VALUE"""),"Computing systems and networks - Communication and collaboration")</f>
        <v>Computing systems and networks - Communication and collaboration</v>
      </c>
      <c r="D111" s="47">
        <f ca="1">IFERROR(__xludf.DUMMYFUNCTION("""COMPUTED_VALUE"""),1)</f>
        <v>1</v>
      </c>
      <c r="E111" s="48" t="str">
        <f ca="1">IFERROR(__xludf.DUMMYFUNCTION("""COMPUTED_VALUE"""),"-To explain the importance of internet addresses")</f>
        <v>-To explain the importance of internet addresses</v>
      </c>
      <c r="F111" s="49" t="str">
        <f ca="1">IFERROR(__xludf.DUMMYFUNCTION("""COMPUTED_VALUE""")," -I can describe how computers use addresses to access websites
- I can explain that internet devices have addresses
- I can recognise that data is transferred using agreed methods ")</f>
        <v xml:space="preserve"> -I can describe how computers use addresses to access websites
- I can explain that internet devices have addresses
- I can recognise that data is transferred using agreed methods </v>
      </c>
      <c r="G111" s="74"/>
      <c r="H111" s="67"/>
      <c r="I111" s="67"/>
      <c r="J111" s="52" t="b">
        <f ca="1">IFERROR(__xludf.DUMMYFUNCTION("""COMPUTED_VALUE"""),TRUE)</f>
        <v>1</v>
      </c>
      <c r="K111" s="52"/>
      <c r="L111" s="52" t="b">
        <f ca="1">IFERROR(__xludf.DUMMYFUNCTION("""COMPUTED_VALUE"""),TRUE)</f>
        <v>1</v>
      </c>
      <c r="M111" s="77" t="b">
        <f ca="1">IFERROR(__xludf.DUMMYFUNCTION("""COMPUTED_VALUE"""),TRUE)</f>
        <v>1</v>
      </c>
      <c r="N111" s="66"/>
      <c r="O111" s="67"/>
      <c r="P111" s="67"/>
      <c r="Q111" s="67"/>
      <c r="R111" s="67"/>
      <c r="S111" s="52" t="b">
        <f ca="1">IFERROR(__xludf.DUMMYFUNCTION("""COMPUTED_VALUE"""),TRUE)</f>
        <v>1</v>
      </c>
      <c r="T111" s="67"/>
      <c r="U111" s="52" t="b">
        <f ca="1">IFERROR(__xludf.DUMMYFUNCTION("""COMPUTED_VALUE"""),TRUE)</f>
        <v>1</v>
      </c>
      <c r="V111" s="67"/>
      <c r="W111" s="68"/>
      <c r="X111" s="54"/>
      <c r="Y111" s="90" t="s">
        <v>63</v>
      </c>
      <c r="Z111" s="70">
        <f ca="1">IFERROR(__xludf.DUMMYFUNCTION("ArrayFormula(mod(COUNTUNIQUE($C$3:C111),2))"),1)</f>
        <v>1</v>
      </c>
    </row>
    <row r="112" spans="1:26" ht="84">
      <c r="A112" s="29">
        <f ca="1">IFERROR(__xludf.DUMMYFUNCTION("""COMPUTED_VALUE"""),6)</f>
        <v>6</v>
      </c>
      <c r="B112" s="29">
        <f ca="1">IFERROR(__xludf.DUMMYFUNCTION("""COMPUTED_VALUE"""),1)</f>
        <v>1</v>
      </c>
      <c r="C112" s="30" t="str">
        <f ca="1">IFERROR(__xludf.DUMMYFUNCTION("""COMPUTED_VALUE"""),"Computing systems and networks - Communication and collaboration")</f>
        <v>Computing systems and networks - Communication and collaboration</v>
      </c>
      <c r="D112" s="29">
        <f ca="1">IFERROR(__xludf.DUMMYFUNCTION("""COMPUTED_VALUE"""),2)</f>
        <v>2</v>
      </c>
      <c r="E112" s="30" t="str">
        <f ca="1">IFERROR(__xludf.DUMMYFUNCTION("""COMPUTED_VALUE"""),"-To recognise how data is transferred across the internet")</f>
        <v>-To recognise how data is transferred across the internet</v>
      </c>
      <c r="F112" s="31" t="str">
        <f ca="1">IFERROR(__xludf.DUMMYFUNCTION("""COMPUTED_VALUE""")," -I can explain that all data transferred over the internet is in packets
- I can explain that data is transferred over networks in packets
- I can identify and explain the main parts of a data packet")</f>
        <v xml:space="preserve"> -I can explain that all data transferred over the internet is in packets
- I can explain that data is transferred over networks in packets
- I can identify and explain the main parts of a data packet</v>
      </c>
      <c r="G112" s="75"/>
      <c r="H112" s="34"/>
      <c r="I112" s="34"/>
      <c r="J112" s="33" t="b">
        <f ca="1">IFERROR(__xludf.DUMMYFUNCTION("""COMPUTED_VALUE"""),TRUE)</f>
        <v>1</v>
      </c>
      <c r="K112" s="33"/>
      <c r="L112" s="33" t="b">
        <f ca="1">IFERROR(__xludf.DUMMYFUNCTION("""COMPUTED_VALUE"""),TRUE)</f>
        <v>1</v>
      </c>
      <c r="M112" s="78" t="b">
        <f ca="1">IFERROR(__xludf.DUMMYFUNCTION("""COMPUTED_VALUE"""),TRUE)</f>
        <v>1</v>
      </c>
      <c r="N112" s="32"/>
      <c r="O112" s="34"/>
      <c r="P112" s="34"/>
      <c r="Q112" s="34"/>
      <c r="R112" s="34"/>
      <c r="S112" s="33" t="b">
        <f ca="1">IFERROR(__xludf.DUMMYFUNCTION("""COMPUTED_VALUE"""),TRUE)</f>
        <v>1</v>
      </c>
      <c r="T112" s="34"/>
      <c r="U112" s="33" t="b">
        <f ca="1">IFERROR(__xludf.DUMMYFUNCTION("""COMPUTED_VALUE"""),TRUE)</f>
        <v>1</v>
      </c>
      <c r="V112" s="34"/>
      <c r="W112" s="35"/>
      <c r="X112" s="59"/>
      <c r="Y112" s="91" t="s">
        <v>63</v>
      </c>
      <c r="Z112" s="37">
        <f ca="1">IFERROR(__xludf.DUMMYFUNCTION("ArrayFormula(mod(COUNTUNIQUE($C$3:C112),2))"),1)</f>
        <v>1</v>
      </c>
    </row>
    <row r="113" spans="1:26" ht="84">
      <c r="A113" s="29">
        <f ca="1">IFERROR(__xludf.DUMMYFUNCTION("""COMPUTED_VALUE"""),6)</f>
        <v>6</v>
      </c>
      <c r="B113" s="29">
        <f ca="1">IFERROR(__xludf.DUMMYFUNCTION("""COMPUTED_VALUE"""),1)</f>
        <v>1</v>
      </c>
      <c r="C113" s="30" t="str">
        <f ca="1">IFERROR(__xludf.DUMMYFUNCTION("""COMPUTED_VALUE"""),"Computing systems and networks - Communication and collaboration")</f>
        <v>Computing systems and networks - Communication and collaboration</v>
      </c>
      <c r="D113" s="29">
        <f ca="1">IFERROR(__xludf.DUMMYFUNCTION("""COMPUTED_VALUE"""),3)</f>
        <v>3</v>
      </c>
      <c r="E113" s="30" t="str">
        <f ca="1">IFERROR(__xludf.DUMMYFUNCTION("""COMPUTED_VALUE"""),"-To explain how sharing information online can help people to work together")</f>
        <v>-To explain how sharing information online can help people to work together</v>
      </c>
      <c r="F113" s="31" t="str">
        <f ca="1">IFERROR(__xludf.DUMMYFUNCTION("""COMPUTED_VALUE""")," -I can explain that the internet allows different media to be shared
- I can recognise how to access shared files stored online
- I can send information over the internet in different ways")</f>
        <v xml:space="preserve"> -I can explain that the internet allows different media to be shared
- I can recognise how to access shared files stored online
- I can send information over the internet in different ways</v>
      </c>
      <c r="G113" s="75"/>
      <c r="H113" s="34"/>
      <c r="I113" s="34"/>
      <c r="J113" s="33" t="b">
        <f ca="1">IFERROR(__xludf.DUMMYFUNCTION("""COMPUTED_VALUE"""),TRUE)</f>
        <v>1</v>
      </c>
      <c r="K113" s="33"/>
      <c r="L113" s="33" t="b">
        <f ca="1">IFERROR(__xludf.DUMMYFUNCTION("""COMPUTED_VALUE"""),TRUE)</f>
        <v>1</v>
      </c>
      <c r="M113" s="78" t="b">
        <f ca="1">IFERROR(__xludf.DUMMYFUNCTION("""COMPUTED_VALUE"""),TRUE)</f>
        <v>1</v>
      </c>
      <c r="N113" s="32"/>
      <c r="O113" s="34"/>
      <c r="P113" s="34"/>
      <c r="Q113" s="34"/>
      <c r="R113" s="34"/>
      <c r="S113" s="33" t="b">
        <f ca="1">IFERROR(__xludf.DUMMYFUNCTION("""COMPUTED_VALUE"""),TRUE)</f>
        <v>1</v>
      </c>
      <c r="T113" s="34"/>
      <c r="U113" s="33" t="b">
        <f ca="1">IFERROR(__xludf.DUMMYFUNCTION("""COMPUTED_VALUE"""),TRUE)</f>
        <v>1</v>
      </c>
      <c r="V113" s="34"/>
      <c r="W113" s="35"/>
      <c r="X113" s="59"/>
      <c r="Y113" s="91" t="s">
        <v>63</v>
      </c>
      <c r="Z113" s="37">
        <f ca="1">IFERROR(__xludf.DUMMYFUNCTION("ArrayFormula(mod(COUNTUNIQUE($C$3:C113),2))"),1)</f>
        <v>1</v>
      </c>
    </row>
    <row r="114" spans="1:26" ht="84">
      <c r="A114" s="29">
        <f ca="1">IFERROR(__xludf.DUMMYFUNCTION("""COMPUTED_VALUE"""),6)</f>
        <v>6</v>
      </c>
      <c r="B114" s="29">
        <f ca="1">IFERROR(__xludf.DUMMYFUNCTION("""COMPUTED_VALUE"""),1)</f>
        <v>1</v>
      </c>
      <c r="C114" s="30" t="str">
        <f ca="1">IFERROR(__xludf.DUMMYFUNCTION("""COMPUTED_VALUE"""),"Computing systems and networks - Communication and collaboration")</f>
        <v>Computing systems and networks - Communication and collaboration</v>
      </c>
      <c r="D114" s="29">
        <f ca="1">IFERROR(__xludf.DUMMYFUNCTION("""COMPUTED_VALUE"""),4)</f>
        <v>4</v>
      </c>
      <c r="E114" s="30" t="str">
        <f ca="1">IFERROR(__xludf.DUMMYFUNCTION("""COMPUTED_VALUE"""),"-To evaluate different ways of working together online")</f>
        <v>-To evaluate different ways of working together online</v>
      </c>
      <c r="F114" s="31" t="str">
        <f ca="1">IFERROR(__xludf.DUMMYFUNCTION("""COMPUTED_VALUE""")," -I can explain how the internet enables effective collaboration
- I can identify different ways of working together online
- I can recognise that working together on the internet can be public or private")</f>
        <v xml:space="preserve"> -I can explain how the internet enables effective collaboration
- I can identify different ways of working together online
- I can recognise that working together on the internet can be public or private</v>
      </c>
      <c r="G114" s="75"/>
      <c r="H114" s="34"/>
      <c r="I114" s="34"/>
      <c r="J114" s="33" t="b">
        <f ca="1">IFERROR(__xludf.DUMMYFUNCTION("""COMPUTED_VALUE"""),TRUE)</f>
        <v>1</v>
      </c>
      <c r="K114" s="33"/>
      <c r="L114" s="33" t="b">
        <f ca="1">IFERROR(__xludf.DUMMYFUNCTION("""COMPUTED_VALUE"""),TRUE)</f>
        <v>1</v>
      </c>
      <c r="M114" s="78" t="b">
        <f ca="1">IFERROR(__xludf.DUMMYFUNCTION("""COMPUTED_VALUE"""),TRUE)</f>
        <v>1</v>
      </c>
      <c r="N114" s="32"/>
      <c r="O114" s="34"/>
      <c r="P114" s="34"/>
      <c r="Q114" s="34"/>
      <c r="R114" s="34"/>
      <c r="S114" s="33" t="b">
        <f ca="1">IFERROR(__xludf.DUMMYFUNCTION("""COMPUTED_VALUE"""),TRUE)</f>
        <v>1</v>
      </c>
      <c r="T114" s="33" t="b">
        <f ca="1">IFERROR(__xludf.DUMMYFUNCTION("""COMPUTED_VALUE"""),TRUE)</f>
        <v>1</v>
      </c>
      <c r="U114" s="33" t="b">
        <f ca="1">IFERROR(__xludf.DUMMYFUNCTION("""COMPUTED_VALUE"""),TRUE)</f>
        <v>1</v>
      </c>
      <c r="V114" s="34"/>
      <c r="W114" s="35"/>
      <c r="X114" s="59"/>
      <c r="Y114" s="91" t="s">
        <v>63</v>
      </c>
      <c r="Z114" s="37">
        <f ca="1">IFERROR(__xludf.DUMMYFUNCTION("ArrayFormula(mod(COUNTUNIQUE($C$3:C114),2))"),1)</f>
        <v>1</v>
      </c>
    </row>
    <row r="115" spans="1:26" ht="84">
      <c r="A115" s="29">
        <f ca="1">IFERROR(__xludf.DUMMYFUNCTION("""COMPUTED_VALUE"""),6)</f>
        <v>6</v>
      </c>
      <c r="B115" s="29">
        <f ca="1">IFERROR(__xludf.DUMMYFUNCTION("""COMPUTED_VALUE"""),1)</f>
        <v>1</v>
      </c>
      <c r="C115" s="30" t="str">
        <f ca="1">IFERROR(__xludf.DUMMYFUNCTION("""COMPUTED_VALUE"""),"Computing systems and networks - Communication and collaboration")</f>
        <v>Computing systems and networks - Communication and collaboration</v>
      </c>
      <c r="D115" s="29">
        <f ca="1">IFERROR(__xludf.DUMMYFUNCTION("""COMPUTED_VALUE"""),5)</f>
        <v>5</v>
      </c>
      <c r="E115" s="30" t="str">
        <f ca="1">IFERROR(__xludf.DUMMYFUNCTION("""COMPUTED_VALUE"""),"-To recognise how we communicate using technology")</f>
        <v>-To recognise how we communicate using technology</v>
      </c>
      <c r="F115" s="31" t="str">
        <f ca="1">IFERROR(__xludf.DUMMYFUNCTION("""COMPUTED_VALUE""")," -I can choose methods of communication to suit particular purposes
- I can explain the different ways in which people communicate
- I can identify that there are a variety of ways to communicate over the internet")</f>
        <v xml:space="preserve"> -I can choose methods of communication to suit particular purposes
- I can explain the different ways in which people communicate
- I can identify that there are a variety of ways to communicate over the internet</v>
      </c>
      <c r="G115" s="75"/>
      <c r="H115" s="34"/>
      <c r="I115" s="34"/>
      <c r="J115" s="33" t="b">
        <f ca="1">IFERROR(__xludf.DUMMYFUNCTION("""COMPUTED_VALUE"""),TRUE)</f>
        <v>1</v>
      </c>
      <c r="K115" s="33"/>
      <c r="L115" s="33" t="b">
        <f ca="1">IFERROR(__xludf.DUMMYFUNCTION("""COMPUTED_VALUE"""),TRUE)</f>
        <v>1</v>
      </c>
      <c r="M115" s="78" t="b">
        <f ca="1">IFERROR(__xludf.DUMMYFUNCTION("""COMPUTED_VALUE"""),TRUE)</f>
        <v>1</v>
      </c>
      <c r="N115" s="32"/>
      <c r="O115" s="34"/>
      <c r="P115" s="34"/>
      <c r="Q115" s="34"/>
      <c r="R115" s="34"/>
      <c r="S115" s="33" t="b">
        <f ca="1">IFERROR(__xludf.DUMMYFUNCTION("""COMPUTED_VALUE"""),TRUE)</f>
        <v>1</v>
      </c>
      <c r="T115" s="34"/>
      <c r="U115" s="33" t="b">
        <f ca="1">IFERROR(__xludf.DUMMYFUNCTION("""COMPUTED_VALUE"""),TRUE)</f>
        <v>1</v>
      </c>
      <c r="V115" s="34"/>
      <c r="W115" s="35"/>
      <c r="X115" s="59"/>
      <c r="Y115" s="91" t="s">
        <v>63</v>
      </c>
      <c r="Z115" s="37">
        <f ca="1">IFERROR(__xludf.DUMMYFUNCTION("ArrayFormula(mod(COUNTUNIQUE($C$3:C115),2))"),1)</f>
        <v>1</v>
      </c>
    </row>
    <row r="116" spans="1:26" ht="84">
      <c r="A116" s="38">
        <f ca="1">IFERROR(__xludf.DUMMYFUNCTION("""COMPUTED_VALUE"""),6)</f>
        <v>6</v>
      </c>
      <c r="B116" s="38">
        <f ca="1">IFERROR(__xludf.DUMMYFUNCTION("""COMPUTED_VALUE"""),1)</f>
        <v>1</v>
      </c>
      <c r="C116" s="39" t="str">
        <f ca="1">IFERROR(__xludf.DUMMYFUNCTION("""COMPUTED_VALUE"""),"Computing systems and networks - Communication and collaboration")</f>
        <v>Computing systems and networks - Communication and collaboration</v>
      </c>
      <c r="D116" s="38">
        <f ca="1">IFERROR(__xludf.DUMMYFUNCTION("""COMPUTED_VALUE"""),6)</f>
        <v>6</v>
      </c>
      <c r="E116" s="39" t="str">
        <f ca="1">IFERROR(__xludf.DUMMYFUNCTION("""COMPUTED_VALUE"""),"-To evaluate different methods of online communication")</f>
        <v>-To evaluate different methods of online communication</v>
      </c>
      <c r="F116" s="40" t="str">
        <f ca="1">IFERROR(__xludf.DUMMYFUNCTION("""COMPUTED_VALUE""")," -I can compare different methods of communicating on the internet
- I can decide when I should and should not share information online
- I can explain that communication on the internet may not be private")</f>
        <v xml:space="preserve"> -I can compare different methods of communicating on the internet
- I can decide when I should and should not share information online
- I can explain that communication on the internet may not be private</v>
      </c>
      <c r="G116" s="76"/>
      <c r="H116" s="43"/>
      <c r="I116" s="43"/>
      <c r="J116" s="42" t="b">
        <f ca="1">IFERROR(__xludf.DUMMYFUNCTION("""COMPUTED_VALUE"""),TRUE)</f>
        <v>1</v>
      </c>
      <c r="K116" s="42"/>
      <c r="L116" s="42" t="b">
        <f ca="1">IFERROR(__xludf.DUMMYFUNCTION("""COMPUTED_VALUE"""),TRUE)</f>
        <v>1</v>
      </c>
      <c r="M116" s="79" t="b">
        <f ca="1">IFERROR(__xludf.DUMMYFUNCTION("""COMPUTED_VALUE"""),TRUE)</f>
        <v>1</v>
      </c>
      <c r="N116" s="41"/>
      <c r="O116" s="43"/>
      <c r="P116" s="43"/>
      <c r="Q116" s="42" t="b">
        <f ca="1">IFERROR(__xludf.DUMMYFUNCTION("""COMPUTED_VALUE"""),TRUE)</f>
        <v>1</v>
      </c>
      <c r="R116" s="43"/>
      <c r="S116" s="42" t="b">
        <f ca="1">IFERROR(__xludf.DUMMYFUNCTION("""COMPUTED_VALUE"""),TRUE)</f>
        <v>1</v>
      </c>
      <c r="T116" s="43"/>
      <c r="U116" s="42" t="b">
        <f ca="1">IFERROR(__xludf.DUMMYFUNCTION("""COMPUTED_VALUE"""),TRUE)</f>
        <v>1</v>
      </c>
      <c r="V116" s="43"/>
      <c r="W116" s="44"/>
      <c r="X116" s="64"/>
      <c r="Y116" s="92" t="s">
        <v>63</v>
      </c>
      <c r="Z116" s="46">
        <f ca="1">IFERROR(__xludf.DUMMYFUNCTION("ArrayFormula(mod(COUNTUNIQUE($C$3:C116),2))"),1)</f>
        <v>1</v>
      </c>
    </row>
    <row r="117" spans="1:26" ht="56">
      <c r="A117" s="47">
        <f ca="1">IFERROR(__xludf.DUMMYFUNCTION("""COMPUTED_VALUE"""),6)</f>
        <v>6</v>
      </c>
      <c r="B117" s="47">
        <f ca="1">IFERROR(__xludf.DUMMYFUNCTION("""COMPUTED_VALUE"""),2)</f>
        <v>2</v>
      </c>
      <c r="C117" s="48" t="str">
        <f ca="1">IFERROR(__xludf.DUMMYFUNCTION("""COMPUTED_VALUE"""),"Creating media – Web page creation")</f>
        <v>Creating media – Web page creation</v>
      </c>
      <c r="D117" s="47">
        <f ca="1">IFERROR(__xludf.DUMMYFUNCTION("""COMPUTED_VALUE"""),1)</f>
        <v>1</v>
      </c>
      <c r="E117" s="48" t="str">
        <f ca="1">IFERROR(__xludf.DUMMYFUNCTION("""COMPUTED_VALUE"""),"-To review an existing website and consider its structure")</f>
        <v>-To review an existing website and consider its structure</v>
      </c>
      <c r="F117" s="49" t="str">
        <f ca="1">IFERROR(__xludf.DUMMYFUNCTION("""COMPUTED_VALUE""")," -I can discuss the different types of media used on websites
- I can explore a website
- I know that websites are written in HTML")</f>
        <v xml:space="preserve"> -I can discuss the different types of media used on websites
- I can explore a website
- I know that websites are written in HTML</v>
      </c>
      <c r="G117" s="50"/>
      <c r="H117" s="51"/>
      <c r="I117" s="51"/>
      <c r="J117" s="51"/>
      <c r="K117" s="51" t="b">
        <f ca="1">IFERROR(__xludf.DUMMYFUNCTION("""COMPUTED_VALUE"""),TRUE)</f>
        <v>1</v>
      </c>
      <c r="L117" s="51" t="b">
        <f ca="1">IFERROR(__xludf.DUMMYFUNCTION("""COMPUTED_VALUE"""),TRUE)</f>
        <v>1</v>
      </c>
      <c r="M117" s="53" t="b">
        <f ca="1">IFERROR(__xludf.DUMMYFUNCTION("""COMPUTED_VALUE"""),TRUE)</f>
        <v>1</v>
      </c>
      <c r="N117" s="50"/>
      <c r="O117" s="51" t="b">
        <f ca="1">IFERROR(__xludf.DUMMYFUNCTION("""COMPUTED_VALUE"""),TRUE)</f>
        <v>1</v>
      </c>
      <c r="P117" s="51"/>
      <c r="Q117" s="51" t="b">
        <f ca="1">IFERROR(__xludf.DUMMYFUNCTION("""COMPUTED_VALUE"""),TRUE)</f>
        <v>1</v>
      </c>
      <c r="R117" s="51"/>
      <c r="S117" s="51"/>
      <c r="T117" s="51"/>
      <c r="U117" s="51" t="b">
        <f ca="1">IFERROR(__xludf.DUMMYFUNCTION("""COMPUTED_VALUE"""),TRUE)</f>
        <v>1</v>
      </c>
      <c r="V117" s="51"/>
      <c r="W117" s="53"/>
      <c r="X117" s="54"/>
      <c r="Y117" s="90" t="s">
        <v>64</v>
      </c>
      <c r="Z117" s="55">
        <f ca="1">IFERROR(__xludf.DUMMYFUNCTION("ArrayFormula(mod(COUNTUNIQUE($C$3:C117),2))"),0)</f>
        <v>0</v>
      </c>
    </row>
    <row r="118" spans="1:26" ht="56">
      <c r="A118" s="29">
        <f ca="1">IFERROR(__xludf.DUMMYFUNCTION("""COMPUTED_VALUE"""),6)</f>
        <v>6</v>
      </c>
      <c r="B118" s="29">
        <f ca="1">IFERROR(__xludf.DUMMYFUNCTION("""COMPUTED_VALUE"""),2)</f>
        <v>2</v>
      </c>
      <c r="C118" s="30" t="str">
        <f ca="1">IFERROR(__xludf.DUMMYFUNCTION("""COMPUTED_VALUE"""),"Creating media – Web page creation")</f>
        <v>Creating media – Web page creation</v>
      </c>
      <c r="D118" s="29">
        <f ca="1">IFERROR(__xludf.DUMMYFUNCTION("""COMPUTED_VALUE"""),2)</f>
        <v>2</v>
      </c>
      <c r="E118" s="30" t="str">
        <f ca="1">IFERROR(__xludf.DUMMYFUNCTION("""COMPUTED_VALUE"""),"-To plan the features of a web page")</f>
        <v>-To plan the features of a web page</v>
      </c>
      <c r="F118" s="31" t="str">
        <f ca="1">IFERROR(__xludf.DUMMYFUNCTION("""COMPUTED_VALUE""")," -I can draw a web page layout that suits my purpose
- I can recognise the common features of a web page
- I can suggest media to include on my page")</f>
        <v xml:space="preserve"> -I can draw a web page layout that suits my purpose
- I can recognise the common features of a web page
- I can suggest media to include on my page</v>
      </c>
      <c r="G118" s="56"/>
      <c r="H118" s="57"/>
      <c r="I118" s="57"/>
      <c r="J118" s="57"/>
      <c r="K118" s="57" t="b">
        <f ca="1">IFERROR(__xludf.DUMMYFUNCTION("""COMPUTED_VALUE"""),TRUE)</f>
        <v>1</v>
      </c>
      <c r="L118" s="57" t="b">
        <f ca="1">IFERROR(__xludf.DUMMYFUNCTION("""COMPUTED_VALUE"""),TRUE)</f>
        <v>1</v>
      </c>
      <c r="M118" s="58" t="b">
        <f ca="1">IFERROR(__xludf.DUMMYFUNCTION("""COMPUTED_VALUE"""),TRUE)</f>
        <v>1</v>
      </c>
      <c r="N118" s="56"/>
      <c r="O118" s="57" t="b">
        <f ca="1">IFERROR(__xludf.DUMMYFUNCTION("""COMPUTED_VALUE"""),TRUE)</f>
        <v>1</v>
      </c>
      <c r="P118" s="57"/>
      <c r="Q118" s="57" t="b">
        <f ca="1">IFERROR(__xludf.DUMMYFUNCTION("""COMPUTED_VALUE"""),TRUE)</f>
        <v>1</v>
      </c>
      <c r="R118" s="57"/>
      <c r="S118" s="57"/>
      <c r="T118" s="57"/>
      <c r="U118" s="57"/>
      <c r="V118" s="57"/>
      <c r="W118" s="58"/>
      <c r="X118" s="59"/>
      <c r="Y118" s="91" t="s">
        <v>64</v>
      </c>
      <c r="Z118" s="60">
        <f ca="1">IFERROR(__xludf.DUMMYFUNCTION("ArrayFormula(mod(COUNTUNIQUE($C$3:C118),2))"),0)</f>
        <v>0</v>
      </c>
    </row>
    <row r="119" spans="1:26" ht="42">
      <c r="A119" s="29">
        <f ca="1">IFERROR(__xludf.DUMMYFUNCTION("""COMPUTED_VALUE"""),6)</f>
        <v>6</v>
      </c>
      <c r="B119" s="29">
        <f ca="1">IFERROR(__xludf.DUMMYFUNCTION("""COMPUTED_VALUE"""),2)</f>
        <v>2</v>
      </c>
      <c r="C119" s="30" t="str">
        <f ca="1">IFERROR(__xludf.DUMMYFUNCTION("""COMPUTED_VALUE"""),"Creating media – Web page creation")</f>
        <v>Creating media – Web page creation</v>
      </c>
      <c r="D119" s="29">
        <f ca="1">IFERROR(__xludf.DUMMYFUNCTION("""COMPUTED_VALUE"""),3)</f>
        <v>3</v>
      </c>
      <c r="E119" s="30" t="str">
        <f ca="1">IFERROR(__xludf.DUMMYFUNCTION("""COMPUTED_VALUE"""),"-To consider the ownership and use of images (copyright)")</f>
        <v>-To consider the ownership and use of images (copyright)</v>
      </c>
      <c r="F119" s="31" t="str">
        <f ca="1">IFERROR(__xludf.DUMMYFUNCTION("""COMPUTED_VALUE""")," -I can describe what is meant by the term ‘fair use’
- I can find copyright-free images
- I can say why I should use copyright-free images")</f>
        <v xml:space="preserve"> -I can describe what is meant by the term ‘fair use’
- I can find copyright-free images
- I can say why I should use copyright-free images</v>
      </c>
      <c r="G119" s="56"/>
      <c r="H119" s="57"/>
      <c r="I119" s="57"/>
      <c r="J119" s="57"/>
      <c r="K119" s="57" t="b">
        <f ca="1">IFERROR(__xludf.DUMMYFUNCTION("""COMPUTED_VALUE"""),TRUE)</f>
        <v>1</v>
      </c>
      <c r="L119" s="57" t="b">
        <f ca="1">IFERROR(__xludf.DUMMYFUNCTION("""COMPUTED_VALUE"""),TRUE)</f>
        <v>1</v>
      </c>
      <c r="M119" s="58" t="b">
        <f ca="1">IFERROR(__xludf.DUMMYFUNCTION("""COMPUTED_VALUE"""),TRUE)</f>
        <v>1</v>
      </c>
      <c r="N119" s="56"/>
      <c r="O119" s="57" t="b">
        <f ca="1">IFERROR(__xludf.DUMMYFUNCTION("""COMPUTED_VALUE"""),TRUE)</f>
        <v>1</v>
      </c>
      <c r="P119" s="57"/>
      <c r="Q119" s="57" t="b">
        <f ca="1">IFERROR(__xludf.DUMMYFUNCTION("""COMPUTED_VALUE"""),TRUE)</f>
        <v>1</v>
      </c>
      <c r="R119" s="57"/>
      <c r="S119" s="57"/>
      <c r="T119" s="57"/>
      <c r="U119" s="57"/>
      <c r="V119" s="57"/>
      <c r="W119" s="58" t="b">
        <f ca="1">IFERROR(__xludf.DUMMYFUNCTION("""COMPUTED_VALUE"""),TRUE)</f>
        <v>1</v>
      </c>
      <c r="X119" s="59"/>
      <c r="Y119" s="91" t="s">
        <v>64</v>
      </c>
      <c r="Z119" s="60">
        <f ca="1">IFERROR(__xludf.DUMMYFUNCTION("ArrayFormula(mod(COUNTUNIQUE($C$3:C119),2))"),0)</f>
        <v>0</v>
      </c>
    </row>
    <row r="120" spans="1:26" ht="56">
      <c r="A120" s="29">
        <f ca="1">IFERROR(__xludf.DUMMYFUNCTION("""COMPUTED_VALUE"""),6)</f>
        <v>6</v>
      </c>
      <c r="B120" s="29">
        <f ca="1">IFERROR(__xludf.DUMMYFUNCTION("""COMPUTED_VALUE"""),2)</f>
        <v>2</v>
      </c>
      <c r="C120" s="30" t="str">
        <f ca="1">IFERROR(__xludf.DUMMYFUNCTION("""COMPUTED_VALUE"""),"Creating media – Web page creation")</f>
        <v>Creating media – Web page creation</v>
      </c>
      <c r="D120" s="29">
        <f ca="1">IFERROR(__xludf.DUMMYFUNCTION("""COMPUTED_VALUE"""),4)</f>
        <v>4</v>
      </c>
      <c r="E120" s="30" t="str">
        <f ca="1">IFERROR(__xludf.DUMMYFUNCTION("""COMPUTED_VALUE"""),"-To recognise the need to preview pages")</f>
        <v>-To recognise the need to preview pages</v>
      </c>
      <c r="F120" s="31" t="str">
        <f ca="1">IFERROR(__xludf.DUMMYFUNCTION("""COMPUTED_VALUE""")," -I can add content to my own web page
- I can evaluate what my web page looks like on different devices and suggest/make edits
- I can preview what my web page looks like")</f>
        <v xml:space="preserve"> -I can add content to my own web page
- I can evaluate what my web page looks like on different devices and suggest/make edits
- I can preview what my web page looks like</v>
      </c>
      <c r="G120" s="56"/>
      <c r="H120" s="57"/>
      <c r="I120" s="57"/>
      <c r="J120" s="57"/>
      <c r="K120" s="57" t="b">
        <f ca="1">IFERROR(__xludf.DUMMYFUNCTION("""COMPUTED_VALUE"""),TRUE)</f>
        <v>1</v>
      </c>
      <c r="L120" s="57" t="b">
        <f ca="1">IFERROR(__xludf.DUMMYFUNCTION("""COMPUTED_VALUE"""),TRUE)</f>
        <v>1</v>
      </c>
      <c r="M120" s="58" t="b">
        <f ca="1">IFERROR(__xludf.DUMMYFUNCTION("""COMPUTED_VALUE"""),TRUE)</f>
        <v>1</v>
      </c>
      <c r="N120" s="56"/>
      <c r="O120" s="57" t="b">
        <f ca="1">IFERROR(__xludf.DUMMYFUNCTION("""COMPUTED_VALUE"""),TRUE)</f>
        <v>1</v>
      </c>
      <c r="P120" s="57"/>
      <c r="Q120" s="57" t="b">
        <f ca="1">IFERROR(__xludf.DUMMYFUNCTION("""COMPUTED_VALUE"""),TRUE)</f>
        <v>1</v>
      </c>
      <c r="R120" s="57"/>
      <c r="S120" s="57" t="b">
        <f ca="1">IFERROR(__xludf.DUMMYFUNCTION("""COMPUTED_VALUE"""),TRUE)</f>
        <v>1</v>
      </c>
      <c r="T120" s="57"/>
      <c r="U120" s="57"/>
      <c r="V120" s="57"/>
      <c r="W120" s="58"/>
      <c r="X120" s="59"/>
      <c r="Y120" s="91" t="s">
        <v>64</v>
      </c>
      <c r="Z120" s="60">
        <f ca="1">IFERROR(__xludf.DUMMYFUNCTION("ArrayFormula(mod(COUNTUNIQUE($C$3:C120),2))"),0)</f>
        <v>0</v>
      </c>
    </row>
    <row r="121" spans="1:26" ht="56">
      <c r="A121" s="29">
        <f ca="1">IFERROR(__xludf.DUMMYFUNCTION("""COMPUTED_VALUE"""),6)</f>
        <v>6</v>
      </c>
      <c r="B121" s="29">
        <f ca="1">IFERROR(__xludf.DUMMYFUNCTION("""COMPUTED_VALUE"""),2)</f>
        <v>2</v>
      </c>
      <c r="C121" s="30" t="str">
        <f ca="1">IFERROR(__xludf.DUMMYFUNCTION("""COMPUTED_VALUE"""),"Creating media – Web page creation")</f>
        <v>Creating media – Web page creation</v>
      </c>
      <c r="D121" s="29">
        <f ca="1">IFERROR(__xludf.DUMMYFUNCTION("""COMPUTED_VALUE"""),5)</f>
        <v>5</v>
      </c>
      <c r="E121" s="30" t="str">
        <f ca="1">IFERROR(__xludf.DUMMYFUNCTION("""COMPUTED_VALUE"""),"-To outline the need for a navigation path")</f>
        <v>-To outline the need for a navigation path</v>
      </c>
      <c r="F121" s="31" t="str">
        <f ca="1">IFERROR(__xludf.DUMMYFUNCTION("""COMPUTED_VALUE""")," -I can describe why navigation paths are useful
- I can explain what a navigation path is
- I can make multiple web pages and link them using hyperlinks")</f>
        <v xml:space="preserve"> -I can describe why navigation paths are useful
- I can explain what a navigation path is
- I can make multiple web pages and link them using hyperlinks</v>
      </c>
      <c r="G121" s="56"/>
      <c r="H121" s="57"/>
      <c r="I121" s="57"/>
      <c r="J121" s="57"/>
      <c r="K121" s="57" t="b">
        <f ca="1">IFERROR(__xludf.DUMMYFUNCTION("""COMPUTED_VALUE"""),TRUE)</f>
        <v>1</v>
      </c>
      <c r="L121" s="57" t="b">
        <f ca="1">IFERROR(__xludf.DUMMYFUNCTION("""COMPUTED_VALUE"""),TRUE)</f>
        <v>1</v>
      </c>
      <c r="M121" s="58" t="b">
        <f ca="1">IFERROR(__xludf.DUMMYFUNCTION("""COMPUTED_VALUE"""),TRUE)</f>
        <v>1</v>
      </c>
      <c r="N121" s="56"/>
      <c r="O121" s="57" t="b">
        <f ca="1">IFERROR(__xludf.DUMMYFUNCTION("""COMPUTED_VALUE"""),TRUE)</f>
        <v>1</v>
      </c>
      <c r="P121" s="57"/>
      <c r="Q121" s="57" t="b">
        <f ca="1">IFERROR(__xludf.DUMMYFUNCTION("""COMPUTED_VALUE"""),TRUE)</f>
        <v>1</v>
      </c>
      <c r="R121" s="57"/>
      <c r="S121" s="57" t="b">
        <f ca="1">IFERROR(__xludf.DUMMYFUNCTION("""COMPUTED_VALUE"""),TRUE)</f>
        <v>1</v>
      </c>
      <c r="T121" s="57"/>
      <c r="U121" s="57" t="b">
        <f ca="1">IFERROR(__xludf.DUMMYFUNCTION("""COMPUTED_VALUE"""),TRUE)</f>
        <v>1</v>
      </c>
      <c r="V121" s="57"/>
      <c r="W121" s="58"/>
      <c r="X121" s="59"/>
      <c r="Y121" s="91" t="s">
        <v>64</v>
      </c>
      <c r="Z121" s="60">
        <f ca="1">IFERROR(__xludf.DUMMYFUNCTION("ArrayFormula(mod(COUNTUNIQUE($C$3:C121),2))"),0)</f>
        <v>0</v>
      </c>
    </row>
    <row r="122" spans="1:26" ht="56">
      <c r="A122" s="38">
        <f ca="1">IFERROR(__xludf.DUMMYFUNCTION("""COMPUTED_VALUE"""),6)</f>
        <v>6</v>
      </c>
      <c r="B122" s="38">
        <f ca="1">IFERROR(__xludf.DUMMYFUNCTION("""COMPUTED_VALUE"""),2)</f>
        <v>2</v>
      </c>
      <c r="C122" s="39" t="str">
        <f ca="1">IFERROR(__xludf.DUMMYFUNCTION("""COMPUTED_VALUE"""),"Creating media – Web page creation")</f>
        <v>Creating media – Web page creation</v>
      </c>
      <c r="D122" s="38">
        <f ca="1">IFERROR(__xludf.DUMMYFUNCTION("""COMPUTED_VALUE"""),6)</f>
        <v>6</v>
      </c>
      <c r="E122" s="39" t="str">
        <f ca="1">IFERROR(__xludf.DUMMYFUNCTION("""COMPUTED_VALUE"""),"-To recognise the implications of linking to content owned by other people")</f>
        <v>-To recognise the implications of linking to content owned by other people</v>
      </c>
      <c r="F122" s="40" t="str">
        <f ca="1">IFERROR(__xludf.DUMMYFUNCTION("""COMPUTED_VALUE""")," -I can create hyperlinks to link to other people's work
- I can evaluate the user experience of a website
- I can explain the implication of linking to content owned by others")</f>
        <v xml:space="preserve"> -I can create hyperlinks to link to other people's work
- I can evaluate the user experience of a website
- I can explain the implication of linking to content owned by others</v>
      </c>
      <c r="G122" s="61"/>
      <c r="H122" s="62"/>
      <c r="I122" s="62"/>
      <c r="J122" s="62"/>
      <c r="K122" s="62" t="b">
        <f ca="1">IFERROR(__xludf.DUMMYFUNCTION("""COMPUTED_VALUE"""),TRUE)</f>
        <v>1</v>
      </c>
      <c r="L122" s="62" t="b">
        <f ca="1">IFERROR(__xludf.DUMMYFUNCTION("""COMPUTED_VALUE"""),TRUE)</f>
        <v>1</v>
      </c>
      <c r="M122" s="63" t="b">
        <f ca="1">IFERROR(__xludf.DUMMYFUNCTION("""COMPUTED_VALUE"""),TRUE)</f>
        <v>1</v>
      </c>
      <c r="N122" s="61"/>
      <c r="O122" s="62" t="b">
        <f ca="1">IFERROR(__xludf.DUMMYFUNCTION("""COMPUTED_VALUE"""),TRUE)</f>
        <v>1</v>
      </c>
      <c r="P122" s="62"/>
      <c r="Q122" s="62" t="b">
        <f ca="1">IFERROR(__xludf.DUMMYFUNCTION("""COMPUTED_VALUE"""),TRUE)</f>
        <v>1</v>
      </c>
      <c r="R122" s="62"/>
      <c r="S122" s="62" t="b">
        <f ca="1">IFERROR(__xludf.DUMMYFUNCTION("""COMPUTED_VALUE"""),TRUE)</f>
        <v>1</v>
      </c>
      <c r="T122" s="62" t="b">
        <f ca="1">IFERROR(__xludf.DUMMYFUNCTION("""COMPUTED_VALUE"""),TRUE)</f>
        <v>1</v>
      </c>
      <c r="U122" s="62" t="b">
        <f ca="1">IFERROR(__xludf.DUMMYFUNCTION("""COMPUTED_VALUE"""),TRUE)</f>
        <v>1</v>
      </c>
      <c r="V122" s="62"/>
      <c r="W122" s="63"/>
      <c r="X122" s="64"/>
      <c r="Y122" s="92" t="s">
        <v>64</v>
      </c>
      <c r="Z122" s="65">
        <f ca="1">IFERROR(__xludf.DUMMYFUNCTION("ArrayFormula(mod(COUNTUNIQUE($C$3:C122),2))"),0)</f>
        <v>0</v>
      </c>
    </row>
    <row r="123" spans="1:26" ht="84">
      <c r="A123" s="47">
        <f ca="1">IFERROR(__xludf.DUMMYFUNCTION("""COMPUTED_VALUE"""),6)</f>
        <v>6</v>
      </c>
      <c r="B123" s="47">
        <f ca="1">IFERROR(__xludf.DUMMYFUNCTION("""COMPUTED_VALUE"""),3)</f>
        <v>3</v>
      </c>
      <c r="C123" s="48" t="str">
        <f ca="1">IFERROR(__xludf.DUMMYFUNCTION("""COMPUTED_VALUE"""),"Programming A – Variables in games")</f>
        <v>Programming A – Variables in games</v>
      </c>
      <c r="D123" s="47">
        <f ca="1">IFERROR(__xludf.DUMMYFUNCTION("""COMPUTED_VALUE"""),1)</f>
        <v>1</v>
      </c>
      <c r="E123" s="48" t="str">
        <f ca="1">IFERROR(__xludf.DUMMYFUNCTION("""COMPUTED_VALUE"""),"-To define a ‘variable’ as something that is changeable")</f>
        <v>-To define a ‘variable’ as something that is changeable</v>
      </c>
      <c r="F123" s="49" t="str">
        <f ca="1">IFERROR(__xludf.DUMMYFUNCTION("""COMPUTED_VALUE""")," -I can explain that the way a variable changes can be defined
- I can identify examples of information that is variable
- I can identify that variables can hold numbers or letters")</f>
        <v xml:space="preserve"> -I can explain that the way a variable changes can be defined
- I can identify examples of information that is variable
- I can identify that variables can hold numbers or letters</v>
      </c>
      <c r="G123" s="66" t="b">
        <f ca="1">IFERROR(__xludf.DUMMYFUNCTION("""COMPUTED_VALUE"""),TRUE)</f>
        <v>1</v>
      </c>
      <c r="H123" s="67" t="b">
        <f ca="1">IFERROR(__xludf.DUMMYFUNCTION("""COMPUTED_VALUE"""),TRUE)</f>
        <v>1</v>
      </c>
      <c r="I123" s="67" t="b">
        <f ca="1">IFERROR(__xludf.DUMMYFUNCTION("""COMPUTED_VALUE"""),TRUE)</f>
        <v>1</v>
      </c>
      <c r="J123" s="67"/>
      <c r="K123" s="67"/>
      <c r="L123" s="67" t="b">
        <f ca="1">IFERROR(__xludf.DUMMYFUNCTION("""COMPUTED_VALUE"""),TRUE)</f>
        <v>1</v>
      </c>
      <c r="M123" s="68"/>
      <c r="N123" s="66"/>
      <c r="O123" s="67"/>
      <c r="P123" s="67"/>
      <c r="Q123" s="67"/>
      <c r="R123" s="67"/>
      <c r="S123" s="67"/>
      <c r="T123" s="67"/>
      <c r="U123" s="67"/>
      <c r="V123" s="67" t="b">
        <f ca="1">IFERROR(__xludf.DUMMYFUNCTION("""COMPUTED_VALUE"""),TRUE)</f>
        <v>1</v>
      </c>
      <c r="W123" s="68"/>
      <c r="X123" s="69"/>
      <c r="Y123" s="93"/>
      <c r="Z123" s="70">
        <f ca="1">IFERROR(__xludf.DUMMYFUNCTION("ArrayFormula(mod(COUNTUNIQUE($C$3:C123),2))"),1)</f>
        <v>1</v>
      </c>
    </row>
    <row r="124" spans="1:26" ht="84">
      <c r="A124" s="29">
        <f ca="1">IFERROR(__xludf.DUMMYFUNCTION("""COMPUTED_VALUE"""),6)</f>
        <v>6</v>
      </c>
      <c r="B124" s="29">
        <f ca="1">IFERROR(__xludf.DUMMYFUNCTION("""COMPUTED_VALUE"""),3)</f>
        <v>3</v>
      </c>
      <c r="C124" s="30" t="str">
        <f ca="1">IFERROR(__xludf.DUMMYFUNCTION("""COMPUTED_VALUE"""),"Programming A – Variables in games")</f>
        <v>Programming A – Variables in games</v>
      </c>
      <c r="D124" s="29">
        <f ca="1">IFERROR(__xludf.DUMMYFUNCTION("""COMPUTED_VALUE"""),2)</f>
        <v>2</v>
      </c>
      <c r="E124" s="30" t="str">
        <f ca="1">IFERROR(__xludf.DUMMYFUNCTION("""COMPUTED_VALUE"""),"-To explain why a variable is used in a program")</f>
        <v>-To explain why a variable is used in a program</v>
      </c>
      <c r="F124" s="31" t="str">
        <f ca="1">IFERROR(__xludf.DUMMYFUNCTION("""COMPUTED_VALUE""")," -I can explain that a variable has a name and a value
- I can identify a program variable as a placeholder in memory for a single value
- I can recognise that the value of a variable can be changed")</f>
        <v xml:space="preserve"> -I can explain that a variable has a name and a value
- I can identify a program variable as a placeholder in memory for a single value
- I can recognise that the value of a variable can be changed</v>
      </c>
      <c r="G124" s="32" t="b">
        <f ca="1">IFERROR(__xludf.DUMMYFUNCTION("""COMPUTED_VALUE"""),TRUE)</f>
        <v>1</v>
      </c>
      <c r="H124" s="34" t="b">
        <f ca="1">IFERROR(__xludf.DUMMYFUNCTION("""COMPUTED_VALUE"""),TRUE)</f>
        <v>1</v>
      </c>
      <c r="I124" s="34" t="b">
        <f ca="1">IFERROR(__xludf.DUMMYFUNCTION("""COMPUTED_VALUE"""),TRUE)</f>
        <v>1</v>
      </c>
      <c r="J124" s="34"/>
      <c r="K124" s="34"/>
      <c r="L124" s="34" t="b">
        <f ca="1">IFERROR(__xludf.DUMMYFUNCTION("""COMPUTED_VALUE"""),TRUE)</f>
        <v>1</v>
      </c>
      <c r="M124" s="35"/>
      <c r="N124" s="32"/>
      <c r="O124" s="34"/>
      <c r="P124" s="34"/>
      <c r="Q124" s="34"/>
      <c r="R124" s="34"/>
      <c r="S124" s="34"/>
      <c r="T124" s="34"/>
      <c r="U124" s="34"/>
      <c r="V124" s="34" t="b">
        <f ca="1">IFERROR(__xludf.DUMMYFUNCTION("""COMPUTED_VALUE"""),TRUE)</f>
        <v>1</v>
      </c>
      <c r="W124" s="35"/>
      <c r="X124" s="36"/>
      <c r="Y124" s="88"/>
      <c r="Z124" s="37">
        <f ca="1">IFERROR(__xludf.DUMMYFUNCTION("ArrayFormula(mod(COUNTUNIQUE($C$3:C124),2))"),1)</f>
        <v>1</v>
      </c>
    </row>
    <row r="125" spans="1:26" ht="84">
      <c r="A125" s="29">
        <f ca="1">IFERROR(__xludf.DUMMYFUNCTION("""COMPUTED_VALUE"""),6)</f>
        <v>6</v>
      </c>
      <c r="B125" s="29">
        <f ca="1">IFERROR(__xludf.DUMMYFUNCTION("""COMPUTED_VALUE"""),3)</f>
        <v>3</v>
      </c>
      <c r="C125" s="30" t="str">
        <f ca="1">IFERROR(__xludf.DUMMYFUNCTION("""COMPUTED_VALUE"""),"Programming A – Variables in games")</f>
        <v>Programming A – Variables in games</v>
      </c>
      <c r="D125" s="29">
        <f ca="1">IFERROR(__xludf.DUMMYFUNCTION("""COMPUTED_VALUE"""),3)</f>
        <v>3</v>
      </c>
      <c r="E125" s="30" t="str">
        <f ca="1">IFERROR(__xludf.DUMMYFUNCTION("""COMPUTED_VALUE"""),"-To choose how to improve a game by using variables")</f>
        <v>-To choose how to improve a game by using variables</v>
      </c>
      <c r="F125" s="31" t="str">
        <f ca="1">IFERROR(__xludf.DUMMYFUNCTION("""COMPUTED_VALUE""")," -I can decide where in a program to change a variable
- I can make use of an event in a program to set a variable
- I can recognise that the value of a variable can be used by a program")</f>
        <v xml:space="preserve"> -I can decide where in a program to change a variable
- I can make use of an event in a program to set a variable
- I can recognise that the value of a variable can be used by a program</v>
      </c>
      <c r="G125" s="32" t="b">
        <f ca="1">IFERROR(__xludf.DUMMYFUNCTION("""COMPUTED_VALUE"""),TRUE)</f>
        <v>1</v>
      </c>
      <c r="H125" s="34" t="b">
        <f ca="1">IFERROR(__xludf.DUMMYFUNCTION("""COMPUTED_VALUE"""),TRUE)</f>
        <v>1</v>
      </c>
      <c r="I125" s="34" t="b">
        <f ca="1">IFERROR(__xludf.DUMMYFUNCTION("""COMPUTED_VALUE"""),TRUE)</f>
        <v>1</v>
      </c>
      <c r="J125" s="34"/>
      <c r="K125" s="34"/>
      <c r="L125" s="34" t="b">
        <f ca="1">IFERROR(__xludf.DUMMYFUNCTION("""COMPUTED_VALUE"""),TRUE)</f>
        <v>1</v>
      </c>
      <c r="M125" s="35"/>
      <c r="N125" s="32"/>
      <c r="O125" s="34"/>
      <c r="P125" s="34"/>
      <c r="Q125" s="34" t="b">
        <f ca="1">IFERROR(__xludf.DUMMYFUNCTION("""COMPUTED_VALUE"""),TRUE)</f>
        <v>1</v>
      </c>
      <c r="R125" s="34"/>
      <c r="S125" s="34"/>
      <c r="T125" s="34"/>
      <c r="U125" s="34"/>
      <c r="V125" s="34" t="b">
        <f ca="1">IFERROR(__xludf.DUMMYFUNCTION("""COMPUTED_VALUE"""),TRUE)</f>
        <v>1</v>
      </c>
      <c r="W125" s="35"/>
      <c r="X125" s="36"/>
      <c r="Y125" s="88"/>
      <c r="Z125" s="37">
        <f ca="1">IFERROR(__xludf.DUMMYFUNCTION("ArrayFormula(mod(COUNTUNIQUE($C$3:C125),2))"),1)</f>
        <v>1</v>
      </c>
    </row>
    <row r="126" spans="1:26" ht="42">
      <c r="A126" s="29">
        <f ca="1">IFERROR(__xludf.DUMMYFUNCTION("""COMPUTED_VALUE"""),6)</f>
        <v>6</v>
      </c>
      <c r="B126" s="29">
        <f ca="1">IFERROR(__xludf.DUMMYFUNCTION("""COMPUTED_VALUE"""),3)</f>
        <v>3</v>
      </c>
      <c r="C126" s="30" t="str">
        <f ca="1">IFERROR(__xludf.DUMMYFUNCTION("""COMPUTED_VALUE"""),"Programming A – Variables in games")</f>
        <v>Programming A – Variables in games</v>
      </c>
      <c r="D126" s="29">
        <f ca="1">IFERROR(__xludf.DUMMYFUNCTION("""COMPUTED_VALUE"""),4)</f>
        <v>4</v>
      </c>
      <c r="E126" s="30" t="str">
        <f ca="1">IFERROR(__xludf.DUMMYFUNCTION("""COMPUTED_VALUE"""),"-To design a project that builds on a given example")</f>
        <v>-To design a project that builds on a given example</v>
      </c>
      <c r="F126" s="31" t="str">
        <f ca="1">IFERROR(__xludf.DUMMYFUNCTION("""COMPUTED_VALUE""")," -I can choose the artwork for my project
- I can create algorithms for my project
- I can explain my design choices")</f>
        <v xml:space="preserve"> -I can choose the artwork for my project
- I can create algorithms for my project
- I can explain my design choices</v>
      </c>
      <c r="G126" s="32" t="b">
        <f ca="1">IFERROR(__xludf.DUMMYFUNCTION("""COMPUTED_VALUE"""),TRUE)</f>
        <v>1</v>
      </c>
      <c r="H126" s="34" t="b">
        <f ca="1">IFERROR(__xludf.DUMMYFUNCTION("""COMPUTED_VALUE"""),TRUE)</f>
        <v>1</v>
      </c>
      <c r="I126" s="34" t="b">
        <f ca="1">IFERROR(__xludf.DUMMYFUNCTION("""COMPUTED_VALUE"""),TRUE)</f>
        <v>1</v>
      </c>
      <c r="J126" s="34"/>
      <c r="K126" s="34"/>
      <c r="L126" s="34" t="b">
        <f ca="1">IFERROR(__xludf.DUMMYFUNCTION("""COMPUTED_VALUE"""),TRUE)</f>
        <v>1</v>
      </c>
      <c r="M126" s="35"/>
      <c r="N126" s="32"/>
      <c r="O126" s="34"/>
      <c r="P126" s="34"/>
      <c r="Q126" s="34" t="b">
        <f ca="1">IFERROR(__xludf.DUMMYFUNCTION("""COMPUTED_VALUE"""),TRUE)</f>
        <v>1</v>
      </c>
      <c r="R126" s="34"/>
      <c r="S126" s="34"/>
      <c r="T126" s="34"/>
      <c r="U126" s="34"/>
      <c r="V126" s="34" t="b">
        <f ca="1">IFERROR(__xludf.DUMMYFUNCTION("""COMPUTED_VALUE"""),TRUE)</f>
        <v>1</v>
      </c>
      <c r="W126" s="35"/>
      <c r="X126" s="36"/>
      <c r="Y126" s="88"/>
      <c r="Z126" s="37">
        <f ca="1">IFERROR(__xludf.DUMMYFUNCTION("ArrayFormula(mod(COUNTUNIQUE($C$3:C126),2))"),1)</f>
        <v>1</v>
      </c>
    </row>
    <row r="127" spans="1:26" ht="56">
      <c r="A127" s="29">
        <f ca="1">IFERROR(__xludf.DUMMYFUNCTION("""COMPUTED_VALUE"""),6)</f>
        <v>6</v>
      </c>
      <c r="B127" s="29">
        <f ca="1">IFERROR(__xludf.DUMMYFUNCTION("""COMPUTED_VALUE"""),3)</f>
        <v>3</v>
      </c>
      <c r="C127" s="30" t="str">
        <f ca="1">IFERROR(__xludf.DUMMYFUNCTION("""COMPUTED_VALUE"""),"Programming A – Variables in games")</f>
        <v>Programming A – Variables in games</v>
      </c>
      <c r="D127" s="29">
        <f ca="1">IFERROR(__xludf.DUMMYFUNCTION("""COMPUTED_VALUE"""),5)</f>
        <v>5</v>
      </c>
      <c r="E127" s="30" t="str">
        <f ca="1">IFERROR(__xludf.DUMMYFUNCTION("""COMPUTED_VALUE"""),"-To use my design to create a project")</f>
        <v>-To use my design to create a project</v>
      </c>
      <c r="F127" s="31" t="str">
        <f ca="1">IFERROR(__xludf.DUMMYFUNCTION("""COMPUTED_VALUE""")," -I can choose a name that identifies the role of a variable
- I can create the artwork for my project
- I can test the code that I have written")</f>
        <v xml:space="preserve"> -I can choose a name that identifies the role of a variable
- I can create the artwork for my project
- I can test the code that I have written</v>
      </c>
      <c r="G127" s="32" t="b">
        <f ca="1">IFERROR(__xludf.DUMMYFUNCTION("""COMPUTED_VALUE"""),TRUE)</f>
        <v>1</v>
      </c>
      <c r="H127" s="34" t="b">
        <f ca="1">IFERROR(__xludf.DUMMYFUNCTION("""COMPUTED_VALUE"""),TRUE)</f>
        <v>1</v>
      </c>
      <c r="I127" s="34" t="b">
        <f ca="1">IFERROR(__xludf.DUMMYFUNCTION("""COMPUTED_VALUE"""),TRUE)</f>
        <v>1</v>
      </c>
      <c r="J127" s="34"/>
      <c r="K127" s="34"/>
      <c r="L127" s="34" t="b">
        <f ca="1">IFERROR(__xludf.DUMMYFUNCTION("""COMPUTED_VALUE"""),TRUE)</f>
        <v>1</v>
      </c>
      <c r="M127" s="35"/>
      <c r="N127" s="32"/>
      <c r="O127" s="34"/>
      <c r="P127" s="34"/>
      <c r="Q127" s="34" t="b">
        <f ca="1">IFERROR(__xludf.DUMMYFUNCTION("""COMPUTED_VALUE"""),TRUE)</f>
        <v>1</v>
      </c>
      <c r="R127" s="34"/>
      <c r="S127" s="34"/>
      <c r="T127" s="34"/>
      <c r="U127" s="34"/>
      <c r="V127" s="34" t="b">
        <f ca="1">IFERROR(__xludf.DUMMYFUNCTION("""COMPUTED_VALUE"""),TRUE)</f>
        <v>1</v>
      </c>
      <c r="W127" s="35"/>
      <c r="X127" s="36"/>
      <c r="Y127" s="88"/>
      <c r="Z127" s="37">
        <f ca="1">IFERROR(__xludf.DUMMYFUNCTION("ArrayFormula(mod(COUNTUNIQUE($C$3:C127),2))"),1)</f>
        <v>1</v>
      </c>
    </row>
    <row r="128" spans="1:26" ht="42">
      <c r="A128" s="38">
        <f ca="1">IFERROR(__xludf.DUMMYFUNCTION("""COMPUTED_VALUE"""),6)</f>
        <v>6</v>
      </c>
      <c r="B128" s="38">
        <f ca="1">IFERROR(__xludf.DUMMYFUNCTION("""COMPUTED_VALUE"""),3)</f>
        <v>3</v>
      </c>
      <c r="C128" s="39" t="str">
        <f ca="1">IFERROR(__xludf.DUMMYFUNCTION("""COMPUTED_VALUE"""),"Programming A – Variables in games")</f>
        <v>Programming A – Variables in games</v>
      </c>
      <c r="D128" s="38">
        <f ca="1">IFERROR(__xludf.DUMMYFUNCTION("""COMPUTED_VALUE"""),6)</f>
        <v>6</v>
      </c>
      <c r="E128" s="39" t="str">
        <f ca="1">IFERROR(__xludf.DUMMYFUNCTION("""COMPUTED_VALUE"""),"-To evaluate my project")</f>
        <v>-To evaluate my project</v>
      </c>
      <c r="F128" s="40" t="str">
        <f ca="1">IFERROR(__xludf.DUMMYFUNCTION("""COMPUTED_VALUE""")," -I can identify ways that my game could be improved
- I can share my game with others
- I can use variables to extend my game")</f>
        <v xml:space="preserve"> -I can identify ways that my game could be improved
- I can share my game with others
- I can use variables to extend my game</v>
      </c>
      <c r="G128" s="41" t="b">
        <f ca="1">IFERROR(__xludf.DUMMYFUNCTION("""COMPUTED_VALUE"""),TRUE)</f>
        <v>1</v>
      </c>
      <c r="H128" s="43" t="b">
        <f ca="1">IFERROR(__xludf.DUMMYFUNCTION("""COMPUTED_VALUE"""),TRUE)</f>
        <v>1</v>
      </c>
      <c r="I128" s="43" t="b">
        <f ca="1">IFERROR(__xludf.DUMMYFUNCTION("""COMPUTED_VALUE"""),TRUE)</f>
        <v>1</v>
      </c>
      <c r="J128" s="43"/>
      <c r="K128" s="43"/>
      <c r="L128" s="43" t="b">
        <f ca="1">IFERROR(__xludf.DUMMYFUNCTION("""COMPUTED_VALUE"""),TRUE)</f>
        <v>1</v>
      </c>
      <c r="M128" s="44"/>
      <c r="N128" s="41"/>
      <c r="O128" s="43"/>
      <c r="P128" s="43"/>
      <c r="Q128" s="43" t="b">
        <f ca="1">IFERROR(__xludf.DUMMYFUNCTION("""COMPUTED_VALUE"""),TRUE)</f>
        <v>1</v>
      </c>
      <c r="R128" s="43"/>
      <c r="S128" s="43"/>
      <c r="T128" s="43"/>
      <c r="U128" s="43"/>
      <c r="V128" s="43" t="b">
        <f ca="1">IFERROR(__xludf.DUMMYFUNCTION("""COMPUTED_VALUE"""),TRUE)</f>
        <v>1</v>
      </c>
      <c r="W128" s="44"/>
      <c r="X128" s="45"/>
      <c r="Y128" s="89"/>
      <c r="Z128" s="46">
        <f ca="1">IFERROR(__xludf.DUMMYFUNCTION("ArrayFormula(mod(COUNTUNIQUE($C$3:C128),2))"),1)</f>
        <v>1</v>
      </c>
    </row>
    <row r="129" spans="1:26" ht="42">
      <c r="A129" s="47">
        <f ca="1">IFERROR(__xludf.DUMMYFUNCTION("""COMPUTED_VALUE"""),6)</f>
        <v>6</v>
      </c>
      <c r="B129" s="47">
        <f ca="1">IFERROR(__xludf.DUMMYFUNCTION("""COMPUTED_VALUE"""),4)</f>
        <v>4</v>
      </c>
      <c r="C129" s="48" t="str">
        <f ca="1">IFERROR(__xludf.DUMMYFUNCTION("""COMPUTED_VALUE"""),"Data and information – Spreadsheets")</f>
        <v>Data and information – Spreadsheets</v>
      </c>
      <c r="D129" s="47">
        <f ca="1">IFERROR(__xludf.DUMMYFUNCTION("""COMPUTED_VALUE"""),1)</f>
        <v>1</v>
      </c>
      <c r="E129" s="48" t="str">
        <f ca="1">IFERROR(__xludf.DUMMYFUNCTION("""COMPUTED_VALUE"""),"-To create a data set in a spreadsheet")</f>
        <v>-To create a data set in a spreadsheet</v>
      </c>
      <c r="F129" s="49" t="str">
        <f ca="1">IFERROR(__xludf.DUMMYFUNCTION("""COMPUTED_VALUE""")," -I can collect data
- I can enter data into a spreadsheet
- I can suggest how to structure my data")</f>
        <v xml:space="preserve"> -I can collect data
- I can enter data into a spreadsheet
- I can suggest how to structure my data</v>
      </c>
      <c r="G129" s="50"/>
      <c r="H129" s="51"/>
      <c r="I129" s="51"/>
      <c r="J129" s="51"/>
      <c r="K129" s="51"/>
      <c r="L129" s="52" t="b">
        <f ca="1">IFERROR(__xludf.DUMMYFUNCTION("""COMPUTED_VALUE"""),TRUE)</f>
        <v>1</v>
      </c>
      <c r="M129" s="53"/>
      <c r="N129" s="50"/>
      <c r="O129" s="51"/>
      <c r="P129" s="51"/>
      <c r="Q129" s="51"/>
      <c r="R129" s="52" t="b">
        <f ca="1">IFERROR(__xludf.DUMMYFUNCTION("""COMPUTED_VALUE"""),TRUE)</f>
        <v>1</v>
      </c>
      <c r="S129" s="51"/>
      <c r="T129" s="51"/>
      <c r="U129" s="51"/>
      <c r="V129" s="51"/>
      <c r="W129" s="53"/>
      <c r="X129" s="71"/>
      <c r="Y129" s="94"/>
      <c r="Z129" s="55">
        <f ca="1">IFERROR(__xludf.DUMMYFUNCTION("ArrayFormula(mod(COUNTUNIQUE($C$3:C129),2))"),0)</f>
        <v>0</v>
      </c>
    </row>
    <row r="130" spans="1:26" ht="42">
      <c r="A130" s="29">
        <f ca="1">IFERROR(__xludf.DUMMYFUNCTION("""COMPUTED_VALUE"""),6)</f>
        <v>6</v>
      </c>
      <c r="B130" s="29">
        <f ca="1">IFERROR(__xludf.DUMMYFUNCTION("""COMPUTED_VALUE"""),4)</f>
        <v>4</v>
      </c>
      <c r="C130" s="30" t="str">
        <f ca="1">IFERROR(__xludf.DUMMYFUNCTION("""COMPUTED_VALUE"""),"Data and information – Spreadsheets")</f>
        <v>Data and information – Spreadsheets</v>
      </c>
      <c r="D130" s="29">
        <f ca="1">IFERROR(__xludf.DUMMYFUNCTION("""COMPUTED_VALUE"""),2)</f>
        <v>2</v>
      </c>
      <c r="E130" s="30" t="str">
        <f ca="1">IFERROR(__xludf.DUMMYFUNCTION("""COMPUTED_VALUE"""),"-To build a data set in a spreadsheet")</f>
        <v>-To build a data set in a spreadsheet</v>
      </c>
      <c r="F130" s="31" t="str">
        <f ca="1">IFERROR(__xludf.DUMMYFUNCTION("""COMPUTED_VALUE""")," -I can apply an appropriate format to a cell
- I can choose an appropriate format for a cell
- I can explain what an item of data is")</f>
        <v xml:space="preserve"> -I can apply an appropriate format to a cell
- I can choose an appropriate format for a cell
- I can explain what an item of data is</v>
      </c>
      <c r="G130" s="56"/>
      <c r="H130" s="57"/>
      <c r="I130" s="57"/>
      <c r="J130" s="57"/>
      <c r="K130" s="57"/>
      <c r="L130" s="33" t="b">
        <f ca="1">IFERROR(__xludf.DUMMYFUNCTION("""COMPUTED_VALUE"""),TRUE)</f>
        <v>1</v>
      </c>
      <c r="M130" s="58"/>
      <c r="N130" s="56"/>
      <c r="O130" s="57"/>
      <c r="P130" s="57"/>
      <c r="Q130" s="57"/>
      <c r="R130" s="33" t="b">
        <f ca="1">IFERROR(__xludf.DUMMYFUNCTION("""COMPUTED_VALUE"""),TRUE)</f>
        <v>1</v>
      </c>
      <c r="S130" s="57"/>
      <c r="T130" s="57"/>
      <c r="U130" s="57"/>
      <c r="V130" s="57"/>
      <c r="W130" s="58"/>
      <c r="X130" s="72"/>
      <c r="Y130" s="95"/>
      <c r="Z130" s="60">
        <f ca="1">IFERROR(__xludf.DUMMYFUNCTION("ArrayFormula(mod(COUNTUNIQUE($C$3:C130),2))"),0)</f>
        <v>0</v>
      </c>
    </row>
    <row r="131" spans="1:26" ht="56">
      <c r="A131" s="29">
        <f ca="1">IFERROR(__xludf.DUMMYFUNCTION("""COMPUTED_VALUE"""),6)</f>
        <v>6</v>
      </c>
      <c r="B131" s="29">
        <f ca="1">IFERROR(__xludf.DUMMYFUNCTION("""COMPUTED_VALUE"""),4)</f>
        <v>4</v>
      </c>
      <c r="C131" s="30" t="str">
        <f ca="1">IFERROR(__xludf.DUMMYFUNCTION("""COMPUTED_VALUE"""),"Data and information – Spreadsheets")</f>
        <v>Data and information – Spreadsheets</v>
      </c>
      <c r="D131" s="29">
        <f ca="1">IFERROR(__xludf.DUMMYFUNCTION("""COMPUTED_VALUE"""),3)</f>
        <v>3</v>
      </c>
      <c r="E131" s="30" t="str">
        <f ca="1">IFERROR(__xludf.DUMMYFUNCTION("""COMPUTED_VALUE"""),"-To explain that formulas can be used to produce calculated data")</f>
        <v>-To explain that formulas can be used to produce calculated data</v>
      </c>
      <c r="F131" s="31" t="str">
        <f ca="1">IFERROR(__xludf.DUMMYFUNCTION("""COMPUTED_VALUE""")," -I can construct a formula in a spreadsheet
- I can explain which data types can be used in calculations
- I can identify that changing inputs changes outputs")</f>
        <v xml:space="preserve"> -I can construct a formula in a spreadsheet
- I can explain which data types can be used in calculations
- I can identify that changing inputs changes outputs</v>
      </c>
      <c r="G131" s="56"/>
      <c r="H131" s="57"/>
      <c r="I131" s="57"/>
      <c r="J131" s="57"/>
      <c r="K131" s="57"/>
      <c r="L131" s="33" t="b">
        <f ca="1">IFERROR(__xludf.DUMMYFUNCTION("""COMPUTED_VALUE"""),TRUE)</f>
        <v>1</v>
      </c>
      <c r="M131" s="58"/>
      <c r="N131" s="56"/>
      <c r="O131" s="57"/>
      <c r="P131" s="57"/>
      <c r="Q131" s="57"/>
      <c r="R131" s="33" t="b">
        <f ca="1">IFERROR(__xludf.DUMMYFUNCTION("""COMPUTED_VALUE"""),TRUE)</f>
        <v>1</v>
      </c>
      <c r="S131" s="33" t="b">
        <f ca="1">IFERROR(__xludf.DUMMYFUNCTION("""COMPUTED_VALUE"""),TRUE)</f>
        <v>1</v>
      </c>
      <c r="T131" s="57"/>
      <c r="U131" s="57"/>
      <c r="V131" s="33" t="b">
        <f ca="1">IFERROR(__xludf.DUMMYFUNCTION("""COMPUTED_VALUE"""),TRUE)</f>
        <v>1</v>
      </c>
      <c r="W131" s="58"/>
      <c r="X131" s="72"/>
      <c r="Y131" s="95"/>
      <c r="Z131" s="60">
        <f ca="1">IFERROR(__xludf.DUMMYFUNCTION("ArrayFormula(mod(COUNTUNIQUE($C$3:C131),2))"),0)</f>
        <v>0</v>
      </c>
    </row>
    <row r="132" spans="1:26" ht="70">
      <c r="A132" s="29">
        <f ca="1">IFERROR(__xludf.DUMMYFUNCTION("""COMPUTED_VALUE"""),6)</f>
        <v>6</v>
      </c>
      <c r="B132" s="29">
        <f ca="1">IFERROR(__xludf.DUMMYFUNCTION("""COMPUTED_VALUE"""),4)</f>
        <v>4</v>
      </c>
      <c r="C132" s="30" t="str">
        <f ca="1">IFERROR(__xludf.DUMMYFUNCTION("""COMPUTED_VALUE"""),"Data and information – Spreadsheets")</f>
        <v>Data and information – Spreadsheets</v>
      </c>
      <c r="D132" s="29">
        <f ca="1">IFERROR(__xludf.DUMMYFUNCTION("""COMPUTED_VALUE"""),4)</f>
        <v>4</v>
      </c>
      <c r="E132" s="30" t="str">
        <f ca="1">IFERROR(__xludf.DUMMYFUNCTION("""COMPUTED_VALUE"""),"-To apply formulas to data")</f>
        <v>-To apply formulas to data</v>
      </c>
      <c r="F132" s="31" t="str">
        <f ca="1">IFERROR(__xludf.DUMMYFUNCTION("""COMPUTED_VALUE""")," -I can apply a formula to multiple cells by duplicating it
- I can calculate data using different operations
- I can create a formula which includes a range of cells")</f>
        <v xml:space="preserve"> -I can apply a formula to multiple cells by duplicating it
- I can calculate data using different operations
- I can create a formula which includes a range of cells</v>
      </c>
      <c r="G132" s="56"/>
      <c r="H132" s="57"/>
      <c r="I132" s="57"/>
      <c r="J132" s="57"/>
      <c r="K132" s="57"/>
      <c r="L132" s="33" t="b">
        <f ca="1">IFERROR(__xludf.DUMMYFUNCTION("""COMPUTED_VALUE"""),TRUE)</f>
        <v>1</v>
      </c>
      <c r="M132" s="58"/>
      <c r="N132" s="56"/>
      <c r="O132" s="57"/>
      <c r="P132" s="57"/>
      <c r="Q132" s="57"/>
      <c r="R132" s="33" t="b">
        <f ca="1">IFERROR(__xludf.DUMMYFUNCTION("""COMPUTED_VALUE"""),TRUE)</f>
        <v>1</v>
      </c>
      <c r="S132" s="33" t="b">
        <f ca="1">IFERROR(__xludf.DUMMYFUNCTION("""COMPUTED_VALUE"""),TRUE)</f>
        <v>1</v>
      </c>
      <c r="T132" s="57"/>
      <c r="U132" s="57"/>
      <c r="V132" s="33" t="b">
        <f ca="1">IFERROR(__xludf.DUMMYFUNCTION("""COMPUTED_VALUE"""),TRUE)</f>
        <v>1</v>
      </c>
      <c r="W132" s="58"/>
      <c r="X132" s="72"/>
      <c r="Y132" s="95"/>
      <c r="Z132" s="60">
        <f ca="1">IFERROR(__xludf.DUMMYFUNCTION("ArrayFormula(mod(COUNTUNIQUE($C$3:C132),2))"),0)</f>
        <v>0</v>
      </c>
    </row>
    <row r="133" spans="1:26" ht="56">
      <c r="A133" s="29">
        <f ca="1">IFERROR(__xludf.DUMMYFUNCTION("""COMPUTED_VALUE"""),6)</f>
        <v>6</v>
      </c>
      <c r="B133" s="29">
        <f ca="1">IFERROR(__xludf.DUMMYFUNCTION("""COMPUTED_VALUE"""),4)</f>
        <v>4</v>
      </c>
      <c r="C133" s="30" t="str">
        <f ca="1">IFERROR(__xludf.DUMMYFUNCTION("""COMPUTED_VALUE"""),"Data and information – Spreadsheets")</f>
        <v>Data and information – Spreadsheets</v>
      </c>
      <c r="D133" s="29">
        <f ca="1">IFERROR(__xludf.DUMMYFUNCTION("""COMPUTED_VALUE"""),5)</f>
        <v>5</v>
      </c>
      <c r="E133" s="30" t="str">
        <f ca="1">IFERROR(__xludf.DUMMYFUNCTION("""COMPUTED_VALUE"""),"-To create a spreadsheet to plan an event")</f>
        <v>-To create a spreadsheet to plan an event</v>
      </c>
      <c r="F133" s="31" t="str">
        <f ca="1">IFERROR(__xludf.DUMMYFUNCTION("""COMPUTED_VALUE""")," -I can apply a formula to calculate the data I need to answer questions
- I can explain why data should be organised
- I can use a spreadsheet to answer questions")</f>
        <v xml:space="preserve"> -I can apply a formula to calculate the data I need to answer questions
- I can explain why data should be organised
- I can use a spreadsheet to answer questions</v>
      </c>
      <c r="G133" s="56"/>
      <c r="H133" s="57"/>
      <c r="I133" s="57"/>
      <c r="J133" s="57"/>
      <c r="K133" s="57"/>
      <c r="L133" s="33" t="b">
        <f ca="1">IFERROR(__xludf.DUMMYFUNCTION("""COMPUTED_VALUE"""),TRUE)</f>
        <v>1</v>
      </c>
      <c r="M133" s="58"/>
      <c r="N133" s="56"/>
      <c r="O133" s="57"/>
      <c r="P133" s="57"/>
      <c r="Q133" s="57"/>
      <c r="R133" s="33" t="b">
        <f ca="1">IFERROR(__xludf.DUMMYFUNCTION("""COMPUTED_VALUE"""),TRUE)</f>
        <v>1</v>
      </c>
      <c r="S133" s="33" t="b">
        <f ca="1">IFERROR(__xludf.DUMMYFUNCTION("""COMPUTED_VALUE"""),TRUE)</f>
        <v>1</v>
      </c>
      <c r="T133" s="57"/>
      <c r="U133" s="57"/>
      <c r="V133" s="57"/>
      <c r="W133" s="58"/>
      <c r="X133" s="72"/>
      <c r="Y133" s="95"/>
      <c r="Z133" s="60">
        <f ca="1">IFERROR(__xludf.DUMMYFUNCTION("ArrayFormula(mod(COUNTUNIQUE($C$3:C133),2))"),0)</f>
        <v>0</v>
      </c>
    </row>
    <row r="134" spans="1:26" ht="42">
      <c r="A134" s="38">
        <f ca="1">IFERROR(__xludf.DUMMYFUNCTION("""COMPUTED_VALUE"""),6)</f>
        <v>6</v>
      </c>
      <c r="B134" s="38">
        <f ca="1">IFERROR(__xludf.DUMMYFUNCTION("""COMPUTED_VALUE"""),4)</f>
        <v>4</v>
      </c>
      <c r="C134" s="39" t="str">
        <f ca="1">IFERROR(__xludf.DUMMYFUNCTION("""COMPUTED_VALUE"""),"Data and information – Spreadsheets")</f>
        <v>Data and information – Spreadsheets</v>
      </c>
      <c r="D134" s="38">
        <f ca="1">IFERROR(__xludf.DUMMYFUNCTION("""COMPUTED_VALUE"""),6)</f>
        <v>6</v>
      </c>
      <c r="E134" s="39" t="str">
        <f ca="1">IFERROR(__xludf.DUMMYFUNCTION("""COMPUTED_VALUE"""),"-To choose suitable ways to present data")</f>
        <v>-To choose suitable ways to present data</v>
      </c>
      <c r="F134" s="40" t="str">
        <f ca="1">IFERROR(__xludf.DUMMYFUNCTION("""COMPUTED_VALUE""")," -I can produce a chart
- I can suggest when to use a table or chart
- I can use a chart to show the answer to questions")</f>
        <v xml:space="preserve"> -I can produce a chart
- I can suggest when to use a table or chart
- I can use a chart to show the answer to questions</v>
      </c>
      <c r="G134" s="61"/>
      <c r="H134" s="62"/>
      <c r="I134" s="62"/>
      <c r="J134" s="62"/>
      <c r="K134" s="62"/>
      <c r="L134" s="42" t="b">
        <f ca="1">IFERROR(__xludf.DUMMYFUNCTION("""COMPUTED_VALUE"""),TRUE)</f>
        <v>1</v>
      </c>
      <c r="M134" s="63"/>
      <c r="N134" s="61"/>
      <c r="O134" s="42" t="b">
        <f ca="1">IFERROR(__xludf.DUMMYFUNCTION("""COMPUTED_VALUE"""),TRUE)</f>
        <v>1</v>
      </c>
      <c r="P134" s="62"/>
      <c r="Q134" s="62"/>
      <c r="R134" s="42" t="b">
        <f ca="1">IFERROR(__xludf.DUMMYFUNCTION("""COMPUTED_VALUE"""),TRUE)</f>
        <v>1</v>
      </c>
      <c r="S134" s="42" t="b">
        <f ca="1">IFERROR(__xludf.DUMMYFUNCTION("""COMPUTED_VALUE"""),TRUE)</f>
        <v>1</v>
      </c>
      <c r="T134" s="62"/>
      <c r="U134" s="62"/>
      <c r="V134" s="62"/>
      <c r="W134" s="63"/>
      <c r="X134" s="73"/>
      <c r="Y134" s="96"/>
      <c r="Z134" s="65">
        <f ca="1">IFERROR(__xludf.DUMMYFUNCTION("ArrayFormula(mod(COUNTUNIQUE($C$3:C134),2))"),0)</f>
        <v>0</v>
      </c>
    </row>
    <row r="135" spans="1:26" ht="42">
      <c r="A135" s="47">
        <f ca="1">IFERROR(__xludf.DUMMYFUNCTION("""COMPUTED_VALUE"""),6)</f>
        <v>6</v>
      </c>
      <c r="B135" s="47">
        <f ca="1">IFERROR(__xludf.DUMMYFUNCTION("""COMPUTED_VALUE"""),5)</f>
        <v>5</v>
      </c>
      <c r="C135" s="48" t="str">
        <f ca="1">IFERROR(__xludf.DUMMYFUNCTION("""COMPUTED_VALUE"""),"Creating media – 3D Modelling")</f>
        <v>Creating media – 3D Modelling</v>
      </c>
      <c r="D135" s="47">
        <f ca="1">IFERROR(__xludf.DUMMYFUNCTION("""COMPUTED_VALUE"""),1)</f>
        <v>1</v>
      </c>
      <c r="E135" s="48" t="str">
        <f ca="1">IFERROR(__xludf.DUMMYFUNCTION("""COMPUTED_VALUE"""),"-To recognise that you can work in three dimensions on a computer")</f>
        <v>-To recognise that you can work in three dimensions on a computer</v>
      </c>
      <c r="F135" s="49" t="str">
        <f ca="1">IFERROR(__xludf.DUMMYFUNCTION("""COMPUTED_VALUE""")," -I can add 3D shapes to a project
- I can move 3D shapes relative to one another
- I can view 3D shapes from different perspectives")</f>
        <v xml:space="preserve"> -I can add 3D shapes to a project
- I can move 3D shapes relative to one another
- I can view 3D shapes from different perspectives</v>
      </c>
      <c r="G135" s="66"/>
      <c r="H135" s="67"/>
      <c r="I135" s="67"/>
      <c r="J135" s="67"/>
      <c r="K135" s="67"/>
      <c r="L135" s="67" t="b">
        <f ca="1">IFERROR(__xludf.DUMMYFUNCTION("""COMPUTED_VALUE"""),TRUE)</f>
        <v>1</v>
      </c>
      <c r="M135" s="68" t="b">
        <f ca="1">IFERROR(__xludf.DUMMYFUNCTION("""COMPUTED_VALUE"""),TRUE)</f>
        <v>1</v>
      </c>
      <c r="N135" s="66"/>
      <c r="O135" s="67" t="b">
        <f ca="1">IFERROR(__xludf.DUMMYFUNCTION("""COMPUTED_VALUE"""),TRUE)</f>
        <v>1</v>
      </c>
      <c r="P135" s="67"/>
      <c r="Q135" s="67"/>
      <c r="R135" s="67"/>
      <c r="S135" s="67" t="b">
        <f ca="1">IFERROR(__xludf.DUMMYFUNCTION("""COMPUTED_VALUE"""),TRUE)</f>
        <v>1</v>
      </c>
      <c r="T135" s="67"/>
      <c r="U135" s="67"/>
      <c r="V135" s="67"/>
      <c r="W135" s="68"/>
      <c r="X135" s="54"/>
      <c r="Y135" s="90" t="s">
        <v>56</v>
      </c>
      <c r="Z135" s="70">
        <f ca="1">IFERROR(__xludf.DUMMYFUNCTION("ArrayFormula(mod(COUNTUNIQUE($C$3:C135),2))"),1)</f>
        <v>1</v>
      </c>
    </row>
    <row r="136" spans="1:26" ht="42">
      <c r="A136" s="29">
        <f ca="1">IFERROR(__xludf.DUMMYFUNCTION("""COMPUTED_VALUE"""),6)</f>
        <v>6</v>
      </c>
      <c r="B136" s="29">
        <f ca="1">IFERROR(__xludf.DUMMYFUNCTION("""COMPUTED_VALUE"""),5)</f>
        <v>5</v>
      </c>
      <c r="C136" s="30" t="str">
        <f ca="1">IFERROR(__xludf.DUMMYFUNCTION("""COMPUTED_VALUE"""),"Creating media – 3D Modelling")</f>
        <v>Creating media – 3D Modelling</v>
      </c>
      <c r="D136" s="29">
        <f ca="1">IFERROR(__xludf.DUMMYFUNCTION("""COMPUTED_VALUE"""),2)</f>
        <v>2</v>
      </c>
      <c r="E136" s="30" t="str">
        <f ca="1">IFERROR(__xludf.DUMMYFUNCTION("""COMPUTED_VALUE"""),"-To identify that digital 3D objects can be modified")</f>
        <v>-To identify that digital 3D objects can be modified</v>
      </c>
      <c r="F136" s="31" t="str">
        <f ca="1">IFERROR(__xludf.DUMMYFUNCTION("""COMPUTED_VALUE""")," -I can lift/lower 3D objects
- I can recolour a 3D object
- I can resize an object in three dimensions")</f>
        <v xml:space="preserve"> -I can lift/lower 3D objects
- I can recolour a 3D object
- I can resize an object in three dimensions</v>
      </c>
      <c r="G136" s="32"/>
      <c r="H136" s="34"/>
      <c r="I136" s="34"/>
      <c r="J136" s="34"/>
      <c r="K136" s="34"/>
      <c r="L136" s="34" t="b">
        <f ca="1">IFERROR(__xludf.DUMMYFUNCTION("""COMPUTED_VALUE"""),TRUE)</f>
        <v>1</v>
      </c>
      <c r="M136" s="35" t="b">
        <f ca="1">IFERROR(__xludf.DUMMYFUNCTION("""COMPUTED_VALUE"""),TRUE)</f>
        <v>1</v>
      </c>
      <c r="N136" s="32"/>
      <c r="O136" s="34" t="b">
        <f ca="1">IFERROR(__xludf.DUMMYFUNCTION("""COMPUTED_VALUE"""),TRUE)</f>
        <v>1</v>
      </c>
      <c r="P136" s="34"/>
      <c r="Q136" s="34"/>
      <c r="R136" s="34"/>
      <c r="S136" s="34" t="b">
        <f ca="1">IFERROR(__xludf.DUMMYFUNCTION("""COMPUTED_VALUE"""),TRUE)</f>
        <v>1</v>
      </c>
      <c r="T136" s="34"/>
      <c r="U136" s="34"/>
      <c r="V136" s="34"/>
      <c r="W136" s="35"/>
      <c r="X136" s="59"/>
      <c r="Y136" s="91" t="s">
        <v>56</v>
      </c>
      <c r="Z136" s="37">
        <f ca="1">IFERROR(__xludf.DUMMYFUNCTION("ArrayFormula(mod(COUNTUNIQUE($C$3:C136),2))"),1)</f>
        <v>1</v>
      </c>
    </row>
    <row r="137" spans="1:26" ht="42">
      <c r="A137" s="29">
        <f ca="1">IFERROR(__xludf.DUMMYFUNCTION("""COMPUTED_VALUE"""),6)</f>
        <v>6</v>
      </c>
      <c r="B137" s="29">
        <f ca="1">IFERROR(__xludf.DUMMYFUNCTION("""COMPUTED_VALUE"""),5)</f>
        <v>5</v>
      </c>
      <c r="C137" s="30" t="str">
        <f ca="1">IFERROR(__xludf.DUMMYFUNCTION("""COMPUTED_VALUE"""),"Creating media – 3D Modelling")</f>
        <v>Creating media – 3D Modelling</v>
      </c>
      <c r="D137" s="29">
        <f ca="1">IFERROR(__xludf.DUMMYFUNCTION("""COMPUTED_VALUE"""),3)</f>
        <v>3</v>
      </c>
      <c r="E137" s="30" t="str">
        <f ca="1">IFERROR(__xludf.DUMMYFUNCTION("""COMPUTED_VALUE"""),"-To recognise that objects can be combined in a 3D model")</f>
        <v>-To recognise that objects can be combined in a 3D model</v>
      </c>
      <c r="F137" s="31" t="str">
        <f ca="1">IFERROR(__xludf.DUMMYFUNCTION("""COMPUTED_VALUE""")," -I can duplicate 3D objects
- I can group 3D objects
- I can rotate objects in three dimensions")</f>
        <v xml:space="preserve"> -I can duplicate 3D objects
- I can group 3D objects
- I can rotate objects in three dimensions</v>
      </c>
      <c r="G137" s="32"/>
      <c r="H137" s="34"/>
      <c r="I137" s="34"/>
      <c r="J137" s="34"/>
      <c r="K137" s="34"/>
      <c r="L137" s="34" t="b">
        <f ca="1">IFERROR(__xludf.DUMMYFUNCTION("""COMPUTED_VALUE"""),TRUE)</f>
        <v>1</v>
      </c>
      <c r="M137" s="35" t="b">
        <f ca="1">IFERROR(__xludf.DUMMYFUNCTION("""COMPUTED_VALUE"""),TRUE)</f>
        <v>1</v>
      </c>
      <c r="N137" s="32"/>
      <c r="O137" s="34" t="b">
        <f ca="1">IFERROR(__xludf.DUMMYFUNCTION("""COMPUTED_VALUE"""),TRUE)</f>
        <v>1</v>
      </c>
      <c r="P137" s="34"/>
      <c r="Q137" s="34"/>
      <c r="R137" s="34"/>
      <c r="S137" s="34" t="b">
        <f ca="1">IFERROR(__xludf.DUMMYFUNCTION("""COMPUTED_VALUE"""),TRUE)</f>
        <v>1</v>
      </c>
      <c r="T137" s="34"/>
      <c r="U137" s="34"/>
      <c r="V137" s="34"/>
      <c r="W137" s="35"/>
      <c r="X137" s="59"/>
      <c r="Y137" s="91" t="s">
        <v>56</v>
      </c>
      <c r="Z137" s="37">
        <f ca="1">IFERROR(__xludf.DUMMYFUNCTION("ArrayFormula(mod(COUNTUNIQUE($C$3:C137),2))"),1)</f>
        <v>1</v>
      </c>
    </row>
    <row r="138" spans="1:26" ht="56">
      <c r="A138" s="29">
        <f ca="1">IFERROR(__xludf.DUMMYFUNCTION("""COMPUTED_VALUE"""),6)</f>
        <v>6</v>
      </c>
      <c r="B138" s="29">
        <f ca="1">IFERROR(__xludf.DUMMYFUNCTION("""COMPUTED_VALUE"""),5)</f>
        <v>5</v>
      </c>
      <c r="C138" s="30" t="str">
        <f ca="1">IFERROR(__xludf.DUMMYFUNCTION("""COMPUTED_VALUE"""),"Creating media – 3D Modelling")</f>
        <v>Creating media – 3D Modelling</v>
      </c>
      <c r="D138" s="29">
        <f ca="1">IFERROR(__xludf.DUMMYFUNCTION("""COMPUTED_VALUE"""),4)</f>
        <v>4</v>
      </c>
      <c r="E138" s="30" t="str">
        <f ca="1">IFERROR(__xludf.DUMMYFUNCTION("""COMPUTED_VALUE"""),"-To create a 3D model for a given purpose")</f>
        <v>-To create a 3D model for a given purpose</v>
      </c>
      <c r="F138" s="31" t="str">
        <f ca="1">IFERROR(__xludf.DUMMYFUNCTION("""COMPUTED_VALUE""")," -I can accurately size 3D objects
- I can combine a number of 3D objects
- I can show that placeholders can create holes in 3D objects")</f>
        <v xml:space="preserve"> -I can accurately size 3D objects
- I can combine a number of 3D objects
- I can show that placeholders can create holes in 3D objects</v>
      </c>
      <c r="G138" s="32"/>
      <c r="H138" s="34"/>
      <c r="I138" s="34"/>
      <c r="J138" s="34"/>
      <c r="K138" s="34"/>
      <c r="L138" s="34" t="b">
        <f ca="1">IFERROR(__xludf.DUMMYFUNCTION("""COMPUTED_VALUE"""),TRUE)</f>
        <v>1</v>
      </c>
      <c r="M138" s="35" t="b">
        <f ca="1">IFERROR(__xludf.DUMMYFUNCTION("""COMPUTED_VALUE"""),TRUE)</f>
        <v>1</v>
      </c>
      <c r="N138" s="32"/>
      <c r="O138" s="34" t="b">
        <f ca="1">IFERROR(__xludf.DUMMYFUNCTION("""COMPUTED_VALUE"""),TRUE)</f>
        <v>1</v>
      </c>
      <c r="P138" s="34"/>
      <c r="Q138" s="34"/>
      <c r="R138" s="34"/>
      <c r="S138" s="34" t="b">
        <f ca="1">IFERROR(__xludf.DUMMYFUNCTION("""COMPUTED_VALUE"""),TRUE)</f>
        <v>1</v>
      </c>
      <c r="T138" s="34"/>
      <c r="U138" s="34"/>
      <c r="V138" s="34"/>
      <c r="W138" s="35"/>
      <c r="X138" s="59"/>
      <c r="Y138" s="91" t="s">
        <v>56</v>
      </c>
      <c r="Z138" s="37">
        <f ca="1">IFERROR(__xludf.DUMMYFUNCTION("ArrayFormula(mod(COUNTUNIQUE($C$3:C138),2))"),1)</f>
        <v>1</v>
      </c>
    </row>
    <row r="139" spans="1:26" ht="42">
      <c r="A139" s="29">
        <f ca="1">IFERROR(__xludf.DUMMYFUNCTION("""COMPUTED_VALUE"""),6)</f>
        <v>6</v>
      </c>
      <c r="B139" s="29">
        <f ca="1">IFERROR(__xludf.DUMMYFUNCTION("""COMPUTED_VALUE"""),5)</f>
        <v>5</v>
      </c>
      <c r="C139" s="30" t="str">
        <f ca="1">IFERROR(__xludf.DUMMYFUNCTION("""COMPUTED_VALUE"""),"Creating media – 3D Modelling")</f>
        <v>Creating media – 3D Modelling</v>
      </c>
      <c r="D139" s="29">
        <f ca="1">IFERROR(__xludf.DUMMYFUNCTION("""COMPUTED_VALUE"""),5)</f>
        <v>5</v>
      </c>
      <c r="E139" s="30" t="str">
        <f ca="1">IFERROR(__xludf.DUMMYFUNCTION("""COMPUTED_VALUE"""),"-To plan my own 3D model")</f>
        <v>-To plan my own 3D model</v>
      </c>
      <c r="F139" s="31" t="str">
        <f ca="1">IFERROR(__xludf.DUMMYFUNCTION("""COMPUTED_VALUE""")," -I can analyse a 3D model
- I can choose objects to use in a 3D model
- I can combine objects in a design")</f>
        <v xml:space="preserve"> -I can analyse a 3D model
- I can choose objects to use in a 3D model
- I can combine objects in a design</v>
      </c>
      <c r="G139" s="32"/>
      <c r="H139" s="34"/>
      <c r="I139" s="34"/>
      <c r="J139" s="34"/>
      <c r="K139" s="34"/>
      <c r="L139" s="34" t="b">
        <f ca="1">IFERROR(__xludf.DUMMYFUNCTION("""COMPUTED_VALUE"""),TRUE)</f>
        <v>1</v>
      </c>
      <c r="M139" s="35" t="b">
        <f ca="1">IFERROR(__xludf.DUMMYFUNCTION("""COMPUTED_VALUE"""),TRUE)</f>
        <v>1</v>
      </c>
      <c r="N139" s="32"/>
      <c r="O139" s="34" t="b">
        <f ca="1">IFERROR(__xludf.DUMMYFUNCTION("""COMPUTED_VALUE"""),TRUE)</f>
        <v>1</v>
      </c>
      <c r="P139" s="34"/>
      <c r="Q139" s="34" t="b">
        <f ca="1">IFERROR(__xludf.DUMMYFUNCTION("""COMPUTED_VALUE"""),TRUE)</f>
        <v>1</v>
      </c>
      <c r="R139" s="34"/>
      <c r="S139" s="34" t="b">
        <f ca="1">IFERROR(__xludf.DUMMYFUNCTION("""COMPUTED_VALUE"""),TRUE)</f>
        <v>1</v>
      </c>
      <c r="T139" s="34"/>
      <c r="U139" s="34"/>
      <c r="V139" s="34"/>
      <c r="W139" s="35"/>
      <c r="X139" s="59"/>
      <c r="Y139" s="91" t="s">
        <v>56</v>
      </c>
      <c r="Z139" s="37">
        <f ca="1">IFERROR(__xludf.DUMMYFUNCTION("ArrayFormula(mod(COUNTUNIQUE($C$3:C139),2))"),1)</f>
        <v>1</v>
      </c>
    </row>
    <row r="140" spans="1:26" ht="42">
      <c r="A140" s="38">
        <f ca="1">IFERROR(__xludf.DUMMYFUNCTION("""COMPUTED_VALUE"""),6)</f>
        <v>6</v>
      </c>
      <c r="B140" s="38">
        <f ca="1">IFERROR(__xludf.DUMMYFUNCTION("""COMPUTED_VALUE"""),5)</f>
        <v>5</v>
      </c>
      <c r="C140" s="39" t="str">
        <f ca="1">IFERROR(__xludf.DUMMYFUNCTION("""COMPUTED_VALUE"""),"Creating media – 3D Modelling")</f>
        <v>Creating media – 3D Modelling</v>
      </c>
      <c r="D140" s="38">
        <f ca="1">IFERROR(__xludf.DUMMYFUNCTION("""COMPUTED_VALUE"""),6)</f>
        <v>6</v>
      </c>
      <c r="E140" s="39" t="str">
        <f ca="1">IFERROR(__xludf.DUMMYFUNCTION("""COMPUTED_VALUE"""),"-To create my own digital 3D model")</f>
        <v>-To create my own digital 3D model</v>
      </c>
      <c r="F140" s="40" t="str">
        <f ca="1">IFERROR(__xludf.DUMMYFUNCTION("""COMPUTED_VALUE""")," -I can construct a 3D model based on a design
- I can explain how my 3D model could be improved
- I can modify my 3D model to improve it")</f>
        <v xml:space="preserve"> -I can construct a 3D model based on a design
- I can explain how my 3D model could be improved
- I can modify my 3D model to improve it</v>
      </c>
      <c r="G140" s="41"/>
      <c r="H140" s="43"/>
      <c r="I140" s="43"/>
      <c r="J140" s="43"/>
      <c r="K140" s="43"/>
      <c r="L140" s="43" t="b">
        <f ca="1">IFERROR(__xludf.DUMMYFUNCTION("""COMPUTED_VALUE"""),TRUE)</f>
        <v>1</v>
      </c>
      <c r="M140" s="44" t="b">
        <f ca="1">IFERROR(__xludf.DUMMYFUNCTION("""COMPUTED_VALUE"""),TRUE)</f>
        <v>1</v>
      </c>
      <c r="N140" s="41"/>
      <c r="O140" s="43" t="b">
        <f ca="1">IFERROR(__xludf.DUMMYFUNCTION("""COMPUTED_VALUE"""),TRUE)</f>
        <v>1</v>
      </c>
      <c r="P140" s="43"/>
      <c r="Q140" s="43" t="b">
        <f ca="1">IFERROR(__xludf.DUMMYFUNCTION("""COMPUTED_VALUE"""),TRUE)</f>
        <v>1</v>
      </c>
      <c r="R140" s="43"/>
      <c r="S140" s="43" t="b">
        <f ca="1">IFERROR(__xludf.DUMMYFUNCTION("""COMPUTED_VALUE"""),TRUE)</f>
        <v>1</v>
      </c>
      <c r="T140" s="43"/>
      <c r="U140" s="43"/>
      <c r="V140" s="43"/>
      <c r="W140" s="44"/>
      <c r="X140" s="64"/>
      <c r="Y140" s="92" t="s">
        <v>56</v>
      </c>
      <c r="Z140" s="46">
        <f ca="1">IFERROR(__xludf.DUMMYFUNCTION("ArrayFormula(mod(COUNTUNIQUE($C$3:C140),2))"),1)</f>
        <v>1</v>
      </c>
    </row>
    <row r="141" spans="1:26" ht="56">
      <c r="A141" s="47">
        <f ca="1">IFERROR(__xludf.DUMMYFUNCTION("""COMPUTED_VALUE"""),6)</f>
        <v>6</v>
      </c>
      <c r="B141" s="47">
        <f ca="1">IFERROR(__xludf.DUMMYFUNCTION("""COMPUTED_VALUE"""),6)</f>
        <v>6</v>
      </c>
      <c r="C141" s="48" t="str">
        <f ca="1">IFERROR(__xludf.DUMMYFUNCTION("""COMPUTED_VALUE"""),"Programming B - Sensing movement")</f>
        <v>Programming B - Sensing movement</v>
      </c>
      <c r="D141" s="47">
        <f ca="1">IFERROR(__xludf.DUMMYFUNCTION("""COMPUTED_VALUE"""),1)</f>
        <v>1</v>
      </c>
      <c r="E141" s="48" t="str">
        <f ca="1">IFERROR(__xludf.DUMMYFUNCTION("""COMPUTED_VALUE"""),"-To create a program to run on a controllable device")</f>
        <v>-To create a program to run on a controllable device</v>
      </c>
      <c r="F141" s="49" t="str">
        <f ca="1">IFERROR(__xludf.DUMMYFUNCTION("""COMPUTED_VALUE""")," -I can apply my knowledge of programming to a new environment
- I can test my program on an emulator
- I can transfer my program to a controllable device")</f>
        <v xml:space="preserve"> -I can apply my knowledge of programming to a new environment
- I can test my program on an emulator
- I can transfer my program to a controllable device</v>
      </c>
      <c r="G141" s="74" t="b">
        <f ca="1">IFERROR(__xludf.DUMMYFUNCTION("""COMPUTED_VALUE"""),TRUE)</f>
        <v>1</v>
      </c>
      <c r="H141" s="52" t="b">
        <f ca="1">IFERROR(__xludf.DUMMYFUNCTION("""COMPUTED_VALUE"""),TRUE)</f>
        <v>1</v>
      </c>
      <c r="I141" s="52" t="b">
        <f ca="1">IFERROR(__xludf.DUMMYFUNCTION("""COMPUTED_VALUE"""),TRUE)</f>
        <v>1</v>
      </c>
      <c r="J141" s="51"/>
      <c r="K141" s="51"/>
      <c r="L141" s="52" t="b">
        <f ca="1">IFERROR(__xludf.DUMMYFUNCTION("""COMPUTED_VALUE"""),TRUE)</f>
        <v>1</v>
      </c>
      <c r="M141" s="53"/>
      <c r="N141" s="50"/>
      <c r="O141" s="51"/>
      <c r="P141" s="52" t="b">
        <f ca="1">IFERROR(__xludf.DUMMYFUNCTION("""COMPUTED_VALUE"""),TRUE)</f>
        <v>1</v>
      </c>
      <c r="Q141" s="51"/>
      <c r="R141" s="51"/>
      <c r="S141" s="51"/>
      <c r="T141" s="51"/>
      <c r="U141" s="51"/>
      <c r="V141" s="52" t="b">
        <f ca="1">IFERROR(__xludf.DUMMYFUNCTION("""COMPUTED_VALUE"""),TRUE)</f>
        <v>1</v>
      </c>
      <c r="W141" s="53"/>
      <c r="X141" s="71"/>
      <c r="Y141" s="94"/>
      <c r="Z141" s="55">
        <f ca="1">IFERROR(__xludf.DUMMYFUNCTION("ArrayFormula(mod(COUNTUNIQUE($C$3:C141),2))"),0)</f>
        <v>0</v>
      </c>
    </row>
    <row r="142" spans="1:26" ht="84">
      <c r="A142" s="29">
        <f ca="1">IFERROR(__xludf.DUMMYFUNCTION("""COMPUTED_VALUE"""),6)</f>
        <v>6</v>
      </c>
      <c r="B142" s="29">
        <f ca="1">IFERROR(__xludf.DUMMYFUNCTION("""COMPUTED_VALUE"""),6)</f>
        <v>6</v>
      </c>
      <c r="C142" s="30" t="str">
        <f ca="1">IFERROR(__xludf.DUMMYFUNCTION("""COMPUTED_VALUE"""),"Programming B - Sensing movement")</f>
        <v>Programming B - Sensing movement</v>
      </c>
      <c r="D142" s="29">
        <f ca="1">IFERROR(__xludf.DUMMYFUNCTION("""COMPUTED_VALUE"""),2)</f>
        <v>2</v>
      </c>
      <c r="E142" s="30" t="str">
        <f ca="1">IFERROR(__xludf.DUMMYFUNCTION("""COMPUTED_VALUE"""),"-To explain that selection can control the flow of a program")</f>
        <v>-To explain that selection can control the flow of a program</v>
      </c>
      <c r="F142" s="31" t="str">
        <f ca="1">IFERROR(__xludf.DUMMYFUNCTION("""COMPUTED_VALUE""")," -I can determine the flow of a program using selection
- I can identify examples of conditions in the real world
- I can use a variable in an if, then, else statement to select the flow of a program")</f>
        <v xml:space="preserve"> -I can determine the flow of a program using selection
- I can identify examples of conditions in the real world
- I can use a variable in an if, then, else statement to select the flow of a program</v>
      </c>
      <c r="G142" s="75" t="b">
        <f ca="1">IFERROR(__xludf.DUMMYFUNCTION("""COMPUTED_VALUE"""),TRUE)</f>
        <v>1</v>
      </c>
      <c r="H142" s="33" t="b">
        <f ca="1">IFERROR(__xludf.DUMMYFUNCTION("""COMPUTED_VALUE"""),TRUE)</f>
        <v>1</v>
      </c>
      <c r="I142" s="33" t="b">
        <f ca="1">IFERROR(__xludf.DUMMYFUNCTION("""COMPUTED_VALUE"""),TRUE)</f>
        <v>1</v>
      </c>
      <c r="J142" s="57"/>
      <c r="K142" s="57"/>
      <c r="L142" s="33" t="b">
        <f ca="1">IFERROR(__xludf.DUMMYFUNCTION("""COMPUTED_VALUE"""),TRUE)</f>
        <v>1</v>
      </c>
      <c r="M142" s="58"/>
      <c r="N142" s="56"/>
      <c r="O142" s="57"/>
      <c r="P142" s="33" t="b">
        <f ca="1">IFERROR(__xludf.DUMMYFUNCTION("""COMPUTED_VALUE"""),TRUE)</f>
        <v>1</v>
      </c>
      <c r="Q142" s="57"/>
      <c r="R142" s="57"/>
      <c r="S142" s="57"/>
      <c r="T142" s="57"/>
      <c r="U142" s="57"/>
      <c r="V142" s="33" t="b">
        <f ca="1">IFERROR(__xludf.DUMMYFUNCTION("""COMPUTED_VALUE"""),TRUE)</f>
        <v>1</v>
      </c>
      <c r="W142" s="58"/>
      <c r="X142" s="72"/>
      <c r="Y142" s="95"/>
      <c r="Z142" s="60">
        <f ca="1">IFERROR(__xludf.DUMMYFUNCTION("ArrayFormula(mod(COUNTUNIQUE($C$3:C142),2))"),0)</f>
        <v>0</v>
      </c>
    </row>
    <row r="143" spans="1:26" ht="56">
      <c r="A143" s="29">
        <f ca="1">IFERROR(__xludf.DUMMYFUNCTION("""COMPUTED_VALUE"""),6)</f>
        <v>6</v>
      </c>
      <c r="B143" s="29">
        <f ca="1">IFERROR(__xludf.DUMMYFUNCTION("""COMPUTED_VALUE"""),6)</f>
        <v>6</v>
      </c>
      <c r="C143" s="30" t="str">
        <f ca="1">IFERROR(__xludf.DUMMYFUNCTION("""COMPUTED_VALUE"""),"Programming B - Sensing movement")</f>
        <v>Programming B - Sensing movement</v>
      </c>
      <c r="D143" s="29">
        <f ca="1">IFERROR(__xludf.DUMMYFUNCTION("""COMPUTED_VALUE"""),3)</f>
        <v>3</v>
      </c>
      <c r="E143" s="30" t="str">
        <f ca="1">IFERROR(__xludf.DUMMYFUNCTION("""COMPUTED_VALUE"""),"-To update a variable with a user input")</f>
        <v>-To update a variable with a user input</v>
      </c>
      <c r="F143" s="31" t="str">
        <f ca="1">IFERROR(__xludf.DUMMYFUNCTION("""COMPUTED_VALUE""")," -I can experiment with different physical inputs
- I can explain that checking a variable doesn’t change its value
- I can use a condition to change a variable")</f>
        <v xml:space="preserve"> -I can experiment with different physical inputs
- I can explain that checking a variable doesn’t change its value
- I can use a condition to change a variable</v>
      </c>
      <c r="G143" s="75" t="b">
        <f ca="1">IFERROR(__xludf.DUMMYFUNCTION("""COMPUTED_VALUE"""),TRUE)</f>
        <v>1</v>
      </c>
      <c r="H143" s="33" t="b">
        <f ca="1">IFERROR(__xludf.DUMMYFUNCTION("""COMPUTED_VALUE"""),TRUE)</f>
        <v>1</v>
      </c>
      <c r="I143" s="33" t="b">
        <f ca="1">IFERROR(__xludf.DUMMYFUNCTION("""COMPUTED_VALUE"""),TRUE)</f>
        <v>1</v>
      </c>
      <c r="J143" s="57"/>
      <c r="K143" s="57"/>
      <c r="L143" s="33" t="b">
        <f ca="1">IFERROR(__xludf.DUMMYFUNCTION("""COMPUTED_VALUE"""),TRUE)</f>
        <v>1</v>
      </c>
      <c r="M143" s="58"/>
      <c r="N143" s="56"/>
      <c r="O143" s="57"/>
      <c r="P143" s="33" t="b">
        <f ca="1">IFERROR(__xludf.DUMMYFUNCTION("""COMPUTED_VALUE"""),TRUE)</f>
        <v>1</v>
      </c>
      <c r="Q143" s="57"/>
      <c r="R143" s="57"/>
      <c r="S143" s="57"/>
      <c r="T143" s="57"/>
      <c r="U143" s="57"/>
      <c r="V143" s="33" t="b">
        <f ca="1">IFERROR(__xludf.DUMMYFUNCTION("""COMPUTED_VALUE"""),TRUE)</f>
        <v>1</v>
      </c>
      <c r="W143" s="58"/>
      <c r="X143" s="72"/>
      <c r="Y143" s="95"/>
      <c r="Z143" s="60">
        <f ca="1">IFERROR(__xludf.DUMMYFUNCTION("ArrayFormula(mod(COUNTUNIQUE($C$3:C143),2))"),0)</f>
        <v>0</v>
      </c>
    </row>
    <row r="144" spans="1:26" ht="84">
      <c r="A144" s="29">
        <f ca="1">IFERROR(__xludf.DUMMYFUNCTION("""COMPUTED_VALUE"""),6)</f>
        <v>6</v>
      </c>
      <c r="B144" s="29">
        <f ca="1">IFERROR(__xludf.DUMMYFUNCTION("""COMPUTED_VALUE"""),6)</f>
        <v>6</v>
      </c>
      <c r="C144" s="30" t="str">
        <f ca="1">IFERROR(__xludf.DUMMYFUNCTION("""COMPUTED_VALUE"""),"Programming B - Sensing movement")</f>
        <v>Programming B - Sensing movement</v>
      </c>
      <c r="D144" s="29">
        <f ca="1">IFERROR(__xludf.DUMMYFUNCTION("""COMPUTED_VALUE"""),4)</f>
        <v>4</v>
      </c>
      <c r="E144" s="30" t="str">
        <f ca="1">IFERROR(__xludf.DUMMYFUNCTION("""COMPUTED_VALUE"""),"-To use a conditional statement to compare a variable to a value")</f>
        <v>-To use a conditional statement to compare a variable to a value</v>
      </c>
      <c r="F144" s="31" t="str">
        <f ca="1">IFERROR(__xludf.DUMMYFUNCTION("""COMPUTED_VALUE""")," -I can explain the importance of the order of conditions in else, if statements
- I can modify a program to achieve a different outcome
- I can use an operand (e.g. &lt;&gt;=) in an if, then statement")</f>
        <v xml:space="preserve"> -I can explain the importance of the order of conditions in else, if statements
- I can modify a program to achieve a different outcome
- I can use an operand (e.g. &lt;&gt;=) in an if, then statement</v>
      </c>
      <c r="G144" s="75" t="b">
        <f ca="1">IFERROR(__xludf.DUMMYFUNCTION("""COMPUTED_VALUE"""),TRUE)</f>
        <v>1</v>
      </c>
      <c r="H144" s="33" t="b">
        <f ca="1">IFERROR(__xludf.DUMMYFUNCTION("""COMPUTED_VALUE"""),TRUE)</f>
        <v>1</v>
      </c>
      <c r="I144" s="33" t="b">
        <f ca="1">IFERROR(__xludf.DUMMYFUNCTION("""COMPUTED_VALUE"""),TRUE)</f>
        <v>1</v>
      </c>
      <c r="J144" s="57"/>
      <c r="K144" s="57"/>
      <c r="L144" s="33" t="b">
        <f ca="1">IFERROR(__xludf.DUMMYFUNCTION("""COMPUTED_VALUE"""),TRUE)</f>
        <v>1</v>
      </c>
      <c r="M144" s="58"/>
      <c r="N144" s="56"/>
      <c r="O144" s="57"/>
      <c r="P144" s="33" t="b">
        <f ca="1">IFERROR(__xludf.DUMMYFUNCTION("""COMPUTED_VALUE"""),TRUE)</f>
        <v>1</v>
      </c>
      <c r="Q144" s="57"/>
      <c r="R144" s="57"/>
      <c r="S144" s="57"/>
      <c r="T144" s="57"/>
      <c r="U144" s="57"/>
      <c r="V144" s="33" t="b">
        <f ca="1">IFERROR(__xludf.DUMMYFUNCTION("""COMPUTED_VALUE"""),TRUE)</f>
        <v>1</v>
      </c>
      <c r="W144" s="58"/>
      <c r="X144" s="72"/>
      <c r="Y144" s="95"/>
      <c r="Z144" s="60">
        <f ca="1">IFERROR(__xludf.DUMMYFUNCTION("ArrayFormula(mod(COUNTUNIQUE($C$3:C144),2))"),0)</f>
        <v>0</v>
      </c>
    </row>
    <row r="145" spans="1:26" ht="42">
      <c r="A145" s="29">
        <f ca="1">IFERROR(__xludf.DUMMYFUNCTION("""COMPUTED_VALUE"""),6)</f>
        <v>6</v>
      </c>
      <c r="B145" s="29">
        <f ca="1">IFERROR(__xludf.DUMMYFUNCTION("""COMPUTED_VALUE"""),6)</f>
        <v>6</v>
      </c>
      <c r="C145" s="30" t="str">
        <f ca="1">IFERROR(__xludf.DUMMYFUNCTION("""COMPUTED_VALUE"""),"Programming B - Sensing movement")</f>
        <v>Programming B - Sensing movement</v>
      </c>
      <c r="D145" s="29">
        <f ca="1">IFERROR(__xludf.DUMMYFUNCTION("""COMPUTED_VALUE"""),5)</f>
        <v>5</v>
      </c>
      <c r="E145" s="30" t="str">
        <f ca="1">IFERROR(__xludf.DUMMYFUNCTION("""COMPUTED_VALUE"""),"-To design a project that uses inputs and outputs on a controllable device")</f>
        <v>-To design a project that uses inputs and outputs on a controllable device</v>
      </c>
      <c r="F145" s="31" t="str">
        <f ca="1">IFERROR(__xludf.DUMMYFUNCTION("""COMPUTED_VALUE""")," -I can decide what variables to include in a project
- I can design the algorithm for my project
- I can design the program flow for my project")</f>
        <v xml:space="preserve"> -I can decide what variables to include in a project
- I can design the algorithm for my project
- I can design the program flow for my project</v>
      </c>
      <c r="G145" s="75" t="b">
        <f ca="1">IFERROR(__xludf.DUMMYFUNCTION("""COMPUTED_VALUE"""),TRUE)</f>
        <v>1</v>
      </c>
      <c r="H145" s="33" t="b">
        <f ca="1">IFERROR(__xludf.DUMMYFUNCTION("""COMPUTED_VALUE"""),TRUE)</f>
        <v>1</v>
      </c>
      <c r="I145" s="33" t="b">
        <f ca="1">IFERROR(__xludf.DUMMYFUNCTION("""COMPUTED_VALUE"""),TRUE)</f>
        <v>1</v>
      </c>
      <c r="J145" s="57"/>
      <c r="K145" s="57"/>
      <c r="L145" s="33" t="b">
        <f ca="1">IFERROR(__xludf.DUMMYFUNCTION("""COMPUTED_VALUE"""),TRUE)</f>
        <v>1</v>
      </c>
      <c r="M145" s="58"/>
      <c r="N145" s="56"/>
      <c r="O145" s="57"/>
      <c r="P145" s="33" t="b">
        <f ca="1">IFERROR(__xludf.DUMMYFUNCTION("""COMPUTED_VALUE"""),TRUE)</f>
        <v>1</v>
      </c>
      <c r="Q145" s="33" t="b">
        <f ca="1">IFERROR(__xludf.DUMMYFUNCTION("""COMPUTED_VALUE"""),TRUE)</f>
        <v>1</v>
      </c>
      <c r="R145" s="57"/>
      <c r="S145" s="57"/>
      <c r="T145" s="57"/>
      <c r="U145" s="57"/>
      <c r="V145" s="33" t="b">
        <f ca="1">IFERROR(__xludf.DUMMYFUNCTION("""COMPUTED_VALUE"""),TRUE)</f>
        <v>1</v>
      </c>
      <c r="W145" s="58"/>
      <c r="X145" s="72"/>
      <c r="Y145" s="95"/>
      <c r="Z145" s="60">
        <f ca="1">IFERROR(__xludf.DUMMYFUNCTION("ArrayFormula(mod(COUNTUNIQUE($C$3:C145),2))"),0)</f>
        <v>0</v>
      </c>
    </row>
    <row r="146" spans="1:26" ht="56">
      <c r="A146" s="38">
        <f ca="1">IFERROR(__xludf.DUMMYFUNCTION("""COMPUTED_VALUE"""),6)</f>
        <v>6</v>
      </c>
      <c r="B146" s="38">
        <f ca="1">IFERROR(__xludf.DUMMYFUNCTION("""COMPUTED_VALUE"""),6)</f>
        <v>6</v>
      </c>
      <c r="C146" s="39" t="str">
        <f ca="1">IFERROR(__xludf.DUMMYFUNCTION("""COMPUTED_VALUE"""),"Programming B - Sensing movement")</f>
        <v>Programming B - Sensing movement</v>
      </c>
      <c r="D146" s="38">
        <f ca="1">IFERROR(__xludf.DUMMYFUNCTION("""COMPUTED_VALUE"""),6)</f>
        <v>6</v>
      </c>
      <c r="E146" s="39" t="str">
        <f ca="1">IFERROR(__xludf.DUMMYFUNCTION("""COMPUTED_VALUE"""),"-To develop a program to use inputs and outputs on a controllable device")</f>
        <v>-To develop a program to use inputs and outputs on a controllable device</v>
      </c>
      <c r="F146" s="40" t="str">
        <f ca="1">IFERROR(__xludf.DUMMYFUNCTION("""COMPUTED_VALUE""")," -I can create a program based on my design
- I can test my program against my design
- I can use a range of approaches to find and fix bugs")</f>
        <v xml:space="preserve"> -I can create a program based on my design
- I can test my program against my design
- I can use a range of approaches to find and fix bugs</v>
      </c>
      <c r="G146" s="76" t="b">
        <f ca="1">IFERROR(__xludf.DUMMYFUNCTION("""COMPUTED_VALUE"""),TRUE)</f>
        <v>1</v>
      </c>
      <c r="H146" s="42" t="b">
        <f ca="1">IFERROR(__xludf.DUMMYFUNCTION("""COMPUTED_VALUE"""),TRUE)</f>
        <v>1</v>
      </c>
      <c r="I146" s="42" t="b">
        <f ca="1">IFERROR(__xludf.DUMMYFUNCTION("""COMPUTED_VALUE"""),TRUE)</f>
        <v>1</v>
      </c>
      <c r="J146" s="62"/>
      <c r="K146" s="62"/>
      <c r="L146" s="42" t="b">
        <f ca="1">IFERROR(__xludf.DUMMYFUNCTION("""COMPUTED_VALUE"""),TRUE)</f>
        <v>1</v>
      </c>
      <c r="M146" s="63"/>
      <c r="N146" s="61"/>
      <c r="O146" s="62"/>
      <c r="P146" s="42" t="b">
        <f ca="1">IFERROR(__xludf.DUMMYFUNCTION("""COMPUTED_VALUE"""),TRUE)</f>
        <v>1</v>
      </c>
      <c r="Q146" s="42" t="b">
        <f ca="1">IFERROR(__xludf.DUMMYFUNCTION("""COMPUTED_VALUE"""),TRUE)</f>
        <v>1</v>
      </c>
      <c r="R146" s="62"/>
      <c r="S146" s="62"/>
      <c r="T146" s="62"/>
      <c r="U146" s="62"/>
      <c r="V146" s="42" t="b">
        <f ca="1">IFERROR(__xludf.DUMMYFUNCTION("""COMPUTED_VALUE"""),TRUE)</f>
        <v>1</v>
      </c>
      <c r="W146" s="63"/>
      <c r="X146" s="73"/>
      <c r="Y146" s="96"/>
      <c r="Z146" s="65">
        <f ca="1">IFERROR(__xludf.DUMMYFUNCTION("ArrayFormula(mod(COUNTUNIQUE($C$3:C146),2))"),0)</f>
        <v>0</v>
      </c>
    </row>
    <row r="147" spans="1:26">
      <c r="A147" s="80"/>
      <c r="B147" s="80"/>
      <c r="C147" s="81"/>
      <c r="D147" s="80"/>
      <c r="E147" s="81"/>
      <c r="F147" s="82"/>
      <c r="G147" s="83"/>
      <c r="H147" s="83"/>
      <c r="I147" s="83"/>
      <c r="J147" s="84"/>
      <c r="K147" s="84"/>
      <c r="L147" s="83"/>
      <c r="M147" s="84"/>
      <c r="N147" s="84"/>
      <c r="O147" s="84"/>
      <c r="P147" s="83"/>
      <c r="Q147" s="83"/>
      <c r="R147" s="84"/>
      <c r="S147" s="84"/>
      <c r="T147" s="84"/>
      <c r="U147" s="84"/>
      <c r="V147" s="83"/>
      <c r="W147" s="84"/>
      <c r="X147" s="14"/>
      <c r="Y147" s="97"/>
      <c r="Z147" s="14"/>
    </row>
  </sheetData>
  <autoFilter ref="A2:Y146" xr:uid="{00000000-0009-0000-0000-000005000000}"/>
  <mergeCells count="2">
    <mergeCell ref="G1:M1"/>
    <mergeCell ref="N1:W1"/>
  </mergeCells>
  <conditionalFormatting sqref="G3:M147">
    <cfRule type="cellIs" dxfId="5" priority="1" operator="equal">
      <formula>TRUE</formula>
    </cfRule>
  </conditionalFormatting>
  <conditionalFormatting sqref="N3:W147">
    <cfRule type="cellIs" dxfId="4" priority="2" operator="equal">
      <formula>TRUE</formula>
    </cfRule>
  </conditionalFormatting>
  <conditionalFormatting sqref="A3:Z147">
    <cfRule type="expression" dxfId="3" priority="3">
      <formula>$Z3=1</formula>
    </cfRule>
  </conditionalFormatting>
  <conditionalFormatting sqref="A3:Z147">
    <cfRule type="expression" dxfId="2" priority="4">
      <formula>$Z3=0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I78"/>
  <sheetViews>
    <sheetView workbookViewId="0"/>
  </sheetViews>
  <sheetFormatPr baseColWidth="10" defaultColWidth="12.6640625" defaultRowHeight="15.75" customHeight="1"/>
  <sheetData>
    <row r="1" spans="1:9" ht="15.75" customHeight="1">
      <c r="A1" s="85" t="s">
        <v>75</v>
      </c>
      <c r="B1" s="85" t="s">
        <v>76</v>
      </c>
      <c r="C1" s="85" t="s">
        <v>77</v>
      </c>
      <c r="D1" s="85" t="s">
        <v>78</v>
      </c>
      <c r="E1" s="85" t="s">
        <v>79</v>
      </c>
      <c r="F1" s="85" t="s">
        <v>80</v>
      </c>
      <c r="G1" s="85" t="s">
        <v>80</v>
      </c>
      <c r="H1" s="85" t="s">
        <v>80</v>
      </c>
      <c r="I1" s="85" t="s">
        <v>80</v>
      </c>
    </row>
    <row r="2" spans="1:9" ht="15.75" customHeight="1">
      <c r="A2" s="85">
        <v>1</v>
      </c>
      <c r="B2" s="85">
        <v>1</v>
      </c>
      <c r="C2" s="85" t="s">
        <v>81</v>
      </c>
      <c r="D2" s="85">
        <v>1</v>
      </c>
      <c r="E2" s="85" t="s">
        <v>82</v>
      </c>
      <c r="F2" s="85" t="s">
        <v>83</v>
      </c>
      <c r="G2" s="85" t="s">
        <v>84</v>
      </c>
      <c r="H2" s="85" t="s">
        <v>85</v>
      </c>
      <c r="I2" s="85" t="s">
        <v>54</v>
      </c>
    </row>
    <row r="3" spans="1:9" ht="15.75" customHeight="1">
      <c r="A3" s="85">
        <v>1</v>
      </c>
      <c r="B3" s="85">
        <v>1</v>
      </c>
      <c r="C3" s="85" t="s">
        <v>81</v>
      </c>
      <c r="D3" s="85">
        <v>2</v>
      </c>
      <c r="E3" s="85" t="s">
        <v>86</v>
      </c>
      <c r="F3" s="85" t="s">
        <v>87</v>
      </c>
      <c r="G3" s="85" t="s">
        <v>84</v>
      </c>
      <c r="H3" s="85" t="s">
        <v>14</v>
      </c>
      <c r="I3" s="85" t="s">
        <v>54</v>
      </c>
    </row>
    <row r="4" spans="1:9" ht="15.75" customHeight="1">
      <c r="A4" s="85">
        <v>1</v>
      </c>
      <c r="B4" s="85">
        <v>1</v>
      </c>
      <c r="C4" s="85" t="s">
        <v>81</v>
      </c>
      <c r="D4" s="85">
        <v>3</v>
      </c>
      <c r="E4" s="85" t="s">
        <v>88</v>
      </c>
      <c r="F4" s="85" t="s">
        <v>89</v>
      </c>
      <c r="G4" s="85" t="s">
        <v>84</v>
      </c>
      <c r="H4" s="85" t="s">
        <v>90</v>
      </c>
      <c r="I4" s="85" t="s">
        <v>54</v>
      </c>
    </row>
    <row r="5" spans="1:9" ht="15.75" customHeight="1">
      <c r="A5" s="85">
        <v>1</v>
      </c>
      <c r="B5" s="85">
        <v>1</v>
      </c>
      <c r="C5" s="85" t="s">
        <v>81</v>
      </c>
      <c r="D5" s="85">
        <v>4</v>
      </c>
      <c r="E5" s="85" t="s">
        <v>91</v>
      </c>
      <c r="F5" s="85" t="s">
        <v>92</v>
      </c>
      <c r="G5" s="85" t="s">
        <v>84</v>
      </c>
      <c r="H5" s="85" t="s">
        <v>90</v>
      </c>
      <c r="I5" s="85" t="s">
        <v>54</v>
      </c>
    </row>
    <row r="6" spans="1:9" ht="15.75" customHeight="1">
      <c r="A6" s="85">
        <v>1</v>
      </c>
      <c r="B6" s="85">
        <v>1</v>
      </c>
      <c r="C6" s="85" t="s">
        <v>81</v>
      </c>
      <c r="D6" s="85">
        <v>5</v>
      </c>
      <c r="E6" s="85" t="s">
        <v>93</v>
      </c>
      <c r="F6" s="85" t="s">
        <v>94</v>
      </c>
      <c r="G6" s="85" t="s">
        <v>84</v>
      </c>
      <c r="H6" s="85" t="s">
        <v>90</v>
      </c>
      <c r="I6" s="85" t="s">
        <v>54</v>
      </c>
    </row>
    <row r="7" spans="1:9" ht="15.75" customHeight="1">
      <c r="A7" s="85">
        <v>1</v>
      </c>
      <c r="B7" s="85">
        <v>1</v>
      </c>
      <c r="C7" s="85" t="s">
        <v>81</v>
      </c>
      <c r="D7" s="85">
        <v>6</v>
      </c>
      <c r="E7" s="85" t="s">
        <v>95</v>
      </c>
      <c r="F7" s="85" t="s">
        <v>96</v>
      </c>
      <c r="G7" s="85" t="s">
        <v>84</v>
      </c>
      <c r="H7" s="85" t="s">
        <v>97</v>
      </c>
      <c r="I7" s="85" t="s">
        <v>54</v>
      </c>
    </row>
    <row r="8" spans="1:9" ht="15.75" customHeight="1">
      <c r="A8" s="85">
        <v>1</v>
      </c>
      <c r="B8" s="85">
        <v>1</v>
      </c>
      <c r="C8" s="85" t="s">
        <v>98</v>
      </c>
      <c r="D8" s="85">
        <v>1</v>
      </c>
      <c r="E8" s="85" t="s">
        <v>99</v>
      </c>
      <c r="F8" s="85" t="s">
        <v>100</v>
      </c>
      <c r="G8" s="85">
        <v>1.4</v>
      </c>
      <c r="H8" s="85" t="s">
        <v>101</v>
      </c>
      <c r="I8" s="85" t="s">
        <v>102</v>
      </c>
    </row>
    <row r="9" spans="1:9" ht="15.75" customHeight="1">
      <c r="A9" s="85">
        <v>1</v>
      </c>
      <c r="B9" s="85">
        <v>1</v>
      </c>
      <c r="C9" s="85" t="s">
        <v>98</v>
      </c>
      <c r="D9" s="85">
        <v>2</v>
      </c>
      <c r="E9" s="85" t="s">
        <v>103</v>
      </c>
      <c r="F9" s="85" t="s">
        <v>104</v>
      </c>
      <c r="G9" s="85">
        <v>1.4</v>
      </c>
      <c r="H9" s="85" t="s">
        <v>101</v>
      </c>
      <c r="I9" s="85" t="s">
        <v>102</v>
      </c>
    </row>
    <row r="10" spans="1:9" ht="15.75" customHeight="1">
      <c r="A10" s="85">
        <v>1</v>
      </c>
      <c r="B10" s="85">
        <v>1</v>
      </c>
      <c r="C10" s="85" t="s">
        <v>98</v>
      </c>
      <c r="D10" s="85">
        <v>3</v>
      </c>
      <c r="E10" s="85" t="s">
        <v>105</v>
      </c>
      <c r="F10" s="85" t="s">
        <v>106</v>
      </c>
      <c r="G10" s="85">
        <v>1.4</v>
      </c>
      <c r="H10" s="85" t="s">
        <v>101</v>
      </c>
      <c r="I10" s="85" t="s">
        <v>102</v>
      </c>
    </row>
    <row r="11" spans="1:9" ht="15.75" customHeight="1">
      <c r="A11" s="85">
        <v>1</v>
      </c>
      <c r="B11" s="85">
        <v>1</v>
      </c>
      <c r="C11" s="85" t="s">
        <v>98</v>
      </c>
      <c r="D11" s="85">
        <v>4</v>
      </c>
      <c r="E11" s="85" t="s">
        <v>107</v>
      </c>
      <c r="F11" s="85" t="s">
        <v>108</v>
      </c>
      <c r="G11" s="85">
        <v>1.4</v>
      </c>
      <c r="H11" s="85" t="s">
        <v>109</v>
      </c>
      <c r="I11" s="85" t="s">
        <v>102</v>
      </c>
    </row>
    <row r="12" spans="1:9" ht="15.75" customHeight="1">
      <c r="A12" s="85">
        <v>1</v>
      </c>
      <c r="B12" s="85">
        <v>1</v>
      </c>
      <c r="C12" s="85" t="s">
        <v>98</v>
      </c>
      <c r="D12" s="85">
        <v>5</v>
      </c>
      <c r="E12" s="85" t="s">
        <v>110</v>
      </c>
      <c r="F12" s="85" t="s">
        <v>111</v>
      </c>
      <c r="G12" s="85">
        <v>1.4</v>
      </c>
      <c r="H12" s="85" t="s">
        <v>101</v>
      </c>
      <c r="I12" s="85" t="s">
        <v>102</v>
      </c>
    </row>
    <row r="13" spans="1:9" ht="15.75" customHeight="1">
      <c r="A13" s="85">
        <v>1</v>
      </c>
      <c r="B13" s="85">
        <v>1</v>
      </c>
      <c r="C13" s="85" t="s">
        <v>98</v>
      </c>
      <c r="D13" s="85">
        <v>6</v>
      </c>
      <c r="E13" s="85" t="s">
        <v>112</v>
      </c>
      <c r="F13" s="85" t="s">
        <v>113</v>
      </c>
      <c r="G13" s="85">
        <v>1.4</v>
      </c>
      <c r="H13" s="85" t="s">
        <v>109</v>
      </c>
      <c r="I13" s="85" t="s">
        <v>102</v>
      </c>
    </row>
    <row r="14" spans="1:9" ht="15.75" customHeight="1">
      <c r="A14" s="85">
        <v>1</v>
      </c>
      <c r="B14" s="85">
        <v>1</v>
      </c>
      <c r="C14" s="85" t="s">
        <v>114</v>
      </c>
      <c r="D14" s="85">
        <v>1</v>
      </c>
      <c r="E14" s="85" t="s">
        <v>115</v>
      </c>
      <c r="F14" s="85" t="s">
        <v>116</v>
      </c>
      <c r="G14" s="85" t="s">
        <v>117</v>
      </c>
      <c r="H14" s="85" t="s">
        <v>101</v>
      </c>
      <c r="I14" s="85" t="s">
        <v>56</v>
      </c>
    </row>
    <row r="15" spans="1:9" ht="15.75" customHeight="1">
      <c r="A15" s="85">
        <v>1</v>
      </c>
      <c r="B15" s="85">
        <v>1</v>
      </c>
      <c r="C15" s="85" t="s">
        <v>114</v>
      </c>
      <c r="D15" s="85">
        <v>2</v>
      </c>
      <c r="E15" s="85" t="s">
        <v>118</v>
      </c>
      <c r="F15" s="85" t="s">
        <v>119</v>
      </c>
      <c r="G15" s="85" t="s">
        <v>117</v>
      </c>
      <c r="H15" s="85" t="s">
        <v>101</v>
      </c>
      <c r="I15" s="85" t="s">
        <v>56</v>
      </c>
    </row>
    <row r="16" spans="1:9" ht="15.75" customHeight="1">
      <c r="A16" s="85">
        <v>1</v>
      </c>
      <c r="B16" s="85">
        <v>1</v>
      </c>
      <c r="C16" s="85" t="s">
        <v>114</v>
      </c>
      <c r="D16" s="85">
        <v>3</v>
      </c>
      <c r="E16" s="85" t="s">
        <v>120</v>
      </c>
      <c r="F16" s="85" t="s">
        <v>121</v>
      </c>
      <c r="G16" s="85" t="s">
        <v>117</v>
      </c>
      <c r="H16" s="85" t="s">
        <v>101</v>
      </c>
      <c r="I16" s="85" t="s">
        <v>56</v>
      </c>
    </row>
    <row r="17" spans="1:9" ht="15.75" customHeight="1">
      <c r="A17" s="85">
        <v>1</v>
      </c>
      <c r="B17" s="85">
        <v>1</v>
      </c>
      <c r="C17" s="85" t="s">
        <v>114</v>
      </c>
      <c r="D17" s="85">
        <v>4</v>
      </c>
      <c r="E17" s="85" t="s">
        <v>122</v>
      </c>
      <c r="F17" s="85" t="s">
        <v>123</v>
      </c>
      <c r="G17" s="85" t="s">
        <v>117</v>
      </c>
      <c r="H17" s="85" t="s">
        <v>101</v>
      </c>
      <c r="I17" s="85" t="s">
        <v>56</v>
      </c>
    </row>
    <row r="18" spans="1:9" ht="15.75" customHeight="1">
      <c r="A18" s="85">
        <v>1</v>
      </c>
      <c r="B18" s="85">
        <v>1</v>
      </c>
      <c r="C18" s="85" t="s">
        <v>114</v>
      </c>
      <c r="D18" s="85">
        <v>5</v>
      </c>
      <c r="E18" s="85" t="s">
        <v>124</v>
      </c>
      <c r="F18" s="85" t="s">
        <v>125</v>
      </c>
      <c r="G18" s="85" t="s">
        <v>117</v>
      </c>
      <c r="H18" s="85" t="s">
        <v>109</v>
      </c>
      <c r="I18" s="85" t="s">
        <v>56</v>
      </c>
    </row>
    <row r="19" spans="1:9" ht="15.75" customHeight="1">
      <c r="A19" s="85">
        <v>1</v>
      </c>
      <c r="B19" s="85">
        <v>1</v>
      </c>
      <c r="C19" s="85" t="s">
        <v>114</v>
      </c>
      <c r="D19" s="85">
        <v>6</v>
      </c>
      <c r="E19" s="85" t="s">
        <v>126</v>
      </c>
      <c r="F19" s="85" t="s">
        <v>127</v>
      </c>
      <c r="G19" s="85" t="s">
        <v>117</v>
      </c>
      <c r="H19" s="85" t="s">
        <v>101</v>
      </c>
      <c r="I19" s="85" t="s">
        <v>56</v>
      </c>
    </row>
    <row r="20" spans="1:9" ht="15.75" customHeight="1">
      <c r="A20" s="85">
        <v>1</v>
      </c>
      <c r="B20" s="85">
        <v>1</v>
      </c>
      <c r="C20" s="85" t="s">
        <v>128</v>
      </c>
      <c r="D20" s="85">
        <v>1</v>
      </c>
      <c r="E20" s="85" t="s">
        <v>129</v>
      </c>
      <c r="F20" s="85" t="s">
        <v>130</v>
      </c>
      <c r="G20" s="85" t="s">
        <v>117</v>
      </c>
      <c r="H20" s="85" t="s">
        <v>10</v>
      </c>
      <c r="I20" s="85" t="s">
        <v>55</v>
      </c>
    </row>
    <row r="21" spans="1:9" ht="15.75" customHeight="1">
      <c r="A21" s="85">
        <v>1</v>
      </c>
      <c r="B21" s="85">
        <v>1</v>
      </c>
      <c r="C21" s="85" t="s">
        <v>128</v>
      </c>
      <c r="D21" s="85">
        <v>2</v>
      </c>
      <c r="E21" s="85" t="s">
        <v>131</v>
      </c>
      <c r="F21" s="85" t="s">
        <v>132</v>
      </c>
      <c r="G21" s="85" t="s">
        <v>117</v>
      </c>
      <c r="H21" s="85" t="s">
        <v>10</v>
      </c>
      <c r="I21" s="85" t="s">
        <v>55</v>
      </c>
    </row>
    <row r="22" spans="1:9" ht="15.75" customHeight="1">
      <c r="A22" s="85">
        <v>1</v>
      </c>
      <c r="B22" s="85">
        <v>1</v>
      </c>
      <c r="C22" s="85" t="s">
        <v>128</v>
      </c>
      <c r="D22" s="85">
        <v>3</v>
      </c>
      <c r="E22" s="85" t="s">
        <v>133</v>
      </c>
      <c r="F22" s="85" t="s">
        <v>134</v>
      </c>
      <c r="G22" s="85" t="s">
        <v>117</v>
      </c>
      <c r="H22" s="85" t="s">
        <v>10</v>
      </c>
      <c r="I22" s="85" t="s">
        <v>55</v>
      </c>
    </row>
    <row r="23" spans="1:9" ht="15.75" customHeight="1">
      <c r="A23" s="85">
        <v>1</v>
      </c>
      <c r="B23" s="85">
        <v>1</v>
      </c>
      <c r="C23" s="85" t="s">
        <v>128</v>
      </c>
      <c r="D23" s="85">
        <v>4</v>
      </c>
      <c r="E23" s="85" t="s">
        <v>135</v>
      </c>
      <c r="F23" s="85" t="s">
        <v>136</v>
      </c>
      <c r="G23" s="85" t="s">
        <v>117</v>
      </c>
      <c r="H23" s="85" t="s">
        <v>10</v>
      </c>
      <c r="I23" s="85" t="s">
        <v>55</v>
      </c>
    </row>
    <row r="24" spans="1:9" ht="15.75" customHeight="1">
      <c r="A24" s="85">
        <v>1</v>
      </c>
      <c r="B24" s="85">
        <v>1</v>
      </c>
      <c r="C24" s="85" t="s">
        <v>128</v>
      </c>
      <c r="D24" s="85">
        <v>5</v>
      </c>
      <c r="E24" s="85" t="s">
        <v>137</v>
      </c>
      <c r="F24" s="85" t="s">
        <v>138</v>
      </c>
      <c r="G24" s="85" t="s">
        <v>117</v>
      </c>
      <c r="H24" s="85" t="s">
        <v>10</v>
      </c>
      <c r="I24" s="85" t="s">
        <v>55</v>
      </c>
    </row>
    <row r="25" spans="1:9" ht="15.75" customHeight="1">
      <c r="A25" s="85">
        <v>1</v>
      </c>
      <c r="B25" s="85">
        <v>1</v>
      </c>
      <c r="C25" s="85" t="s">
        <v>128</v>
      </c>
      <c r="D25" s="85">
        <v>6</v>
      </c>
      <c r="E25" s="85" t="s">
        <v>139</v>
      </c>
      <c r="F25" s="85" t="s">
        <v>140</v>
      </c>
      <c r="G25" s="85" t="s">
        <v>117</v>
      </c>
      <c r="H25" s="85" t="s">
        <v>10</v>
      </c>
      <c r="I25" s="85" t="s">
        <v>55</v>
      </c>
    </row>
    <row r="26" spans="1:9" ht="15.75" customHeight="1">
      <c r="A26" s="85">
        <v>1</v>
      </c>
      <c r="B26" s="85">
        <v>1</v>
      </c>
      <c r="C26" s="85" t="s">
        <v>141</v>
      </c>
      <c r="D26" s="85">
        <v>1</v>
      </c>
      <c r="E26" s="85" t="s">
        <v>142</v>
      </c>
      <c r="F26" s="85" t="s">
        <v>143</v>
      </c>
      <c r="G26" s="85" t="s">
        <v>144</v>
      </c>
      <c r="H26" s="85" t="s">
        <v>18</v>
      </c>
      <c r="I26" s="85" t="s">
        <v>102</v>
      </c>
    </row>
    <row r="27" spans="1:9" ht="15.75" customHeight="1">
      <c r="A27" s="85">
        <v>1</v>
      </c>
      <c r="B27" s="85">
        <v>1</v>
      </c>
      <c r="C27" s="85" t="s">
        <v>141</v>
      </c>
      <c r="D27" s="85">
        <v>2</v>
      </c>
      <c r="E27" s="85" t="s">
        <v>145</v>
      </c>
      <c r="F27" s="85" t="s">
        <v>146</v>
      </c>
      <c r="G27" s="85" t="s">
        <v>144</v>
      </c>
      <c r="H27" s="85" t="s">
        <v>147</v>
      </c>
      <c r="I27" s="85" t="s">
        <v>102</v>
      </c>
    </row>
    <row r="28" spans="1:9" ht="15.75" customHeight="1">
      <c r="A28" s="85">
        <v>1</v>
      </c>
      <c r="B28" s="85">
        <v>1</v>
      </c>
      <c r="C28" s="85" t="s">
        <v>141</v>
      </c>
      <c r="D28" s="85">
        <v>3</v>
      </c>
      <c r="E28" s="85" t="s">
        <v>148</v>
      </c>
      <c r="F28" s="85" t="s">
        <v>149</v>
      </c>
      <c r="G28" s="85" t="s">
        <v>144</v>
      </c>
      <c r="H28" s="85" t="s">
        <v>20</v>
      </c>
      <c r="I28" s="85" t="s">
        <v>102</v>
      </c>
    </row>
    <row r="29" spans="1:9" ht="15.75" customHeight="1">
      <c r="A29" s="85">
        <v>1</v>
      </c>
      <c r="B29" s="85">
        <v>1</v>
      </c>
      <c r="C29" s="85" t="s">
        <v>141</v>
      </c>
      <c r="D29" s="85">
        <v>4</v>
      </c>
      <c r="E29" s="85" t="s">
        <v>150</v>
      </c>
      <c r="F29" s="85" t="s">
        <v>151</v>
      </c>
      <c r="G29" s="85" t="s">
        <v>144</v>
      </c>
      <c r="H29" s="85" t="s">
        <v>20</v>
      </c>
      <c r="I29" s="85" t="s">
        <v>102</v>
      </c>
    </row>
    <row r="30" spans="1:9" ht="15.75" customHeight="1">
      <c r="A30" s="85">
        <v>1</v>
      </c>
      <c r="B30" s="85">
        <v>1</v>
      </c>
      <c r="C30" s="85" t="s">
        <v>141</v>
      </c>
      <c r="D30" s="85">
        <v>5</v>
      </c>
      <c r="E30" s="85" t="s">
        <v>152</v>
      </c>
      <c r="F30" s="85" t="s">
        <v>153</v>
      </c>
      <c r="G30" s="85" t="s">
        <v>144</v>
      </c>
      <c r="H30" s="85" t="s">
        <v>154</v>
      </c>
      <c r="I30" s="85" t="s">
        <v>102</v>
      </c>
    </row>
    <row r="31" spans="1:9" ht="15.75" customHeight="1">
      <c r="A31" s="85">
        <v>1</v>
      </c>
      <c r="B31" s="85">
        <v>1</v>
      </c>
      <c r="C31" s="85" t="s">
        <v>141</v>
      </c>
      <c r="D31" s="85">
        <v>6</v>
      </c>
      <c r="E31" s="85" t="s">
        <v>155</v>
      </c>
      <c r="F31" s="85" t="s">
        <v>156</v>
      </c>
      <c r="G31" s="85" t="s">
        <v>144</v>
      </c>
      <c r="H31" s="85" t="s">
        <v>18</v>
      </c>
      <c r="I31" s="85" t="s">
        <v>102</v>
      </c>
    </row>
    <row r="32" spans="1:9" ht="15.75" customHeight="1">
      <c r="A32" s="85">
        <v>1</v>
      </c>
      <c r="B32" s="85">
        <v>1</v>
      </c>
      <c r="C32" s="85" t="s">
        <v>157</v>
      </c>
      <c r="D32" s="85">
        <v>1</v>
      </c>
      <c r="E32" s="85" t="s">
        <v>158</v>
      </c>
      <c r="F32" s="85" t="s">
        <v>159</v>
      </c>
      <c r="G32" s="85" t="s">
        <v>160</v>
      </c>
      <c r="H32" s="85" t="s">
        <v>20</v>
      </c>
      <c r="I32" s="85" t="s">
        <v>102</v>
      </c>
    </row>
    <row r="33" spans="1:9" ht="15.75" customHeight="1">
      <c r="A33" s="85">
        <v>1</v>
      </c>
      <c r="B33" s="85">
        <v>1</v>
      </c>
      <c r="C33" s="85" t="s">
        <v>157</v>
      </c>
      <c r="D33" s="85">
        <v>2</v>
      </c>
      <c r="E33" s="85" t="s">
        <v>161</v>
      </c>
      <c r="F33" s="85" t="s">
        <v>162</v>
      </c>
      <c r="G33" s="85" t="s">
        <v>160</v>
      </c>
      <c r="H33" s="85" t="s">
        <v>20</v>
      </c>
      <c r="I33" s="85" t="s">
        <v>102</v>
      </c>
    </row>
    <row r="34" spans="1:9" ht="15.75" customHeight="1">
      <c r="A34" s="85">
        <v>1</v>
      </c>
      <c r="B34" s="85">
        <v>1</v>
      </c>
      <c r="C34" s="85" t="s">
        <v>157</v>
      </c>
      <c r="D34" s="85">
        <v>3</v>
      </c>
      <c r="E34" s="85" t="s">
        <v>163</v>
      </c>
      <c r="F34" s="85" t="s">
        <v>164</v>
      </c>
      <c r="G34" s="85" t="s">
        <v>160</v>
      </c>
      <c r="H34" s="85" t="s">
        <v>20</v>
      </c>
      <c r="I34" s="85" t="s">
        <v>102</v>
      </c>
    </row>
    <row r="35" spans="1:9" ht="15.75" customHeight="1">
      <c r="A35" s="85">
        <v>1</v>
      </c>
      <c r="B35" s="85">
        <v>1</v>
      </c>
      <c r="C35" s="85" t="s">
        <v>157</v>
      </c>
      <c r="D35" s="85">
        <v>4</v>
      </c>
      <c r="E35" s="85" t="s">
        <v>165</v>
      </c>
      <c r="F35" s="85" t="s">
        <v>166</v>
      </c>
      <c r="G35" s="85" t="s">
        <v>160</v>
      </c>
      <c r="H35" s="85" t="s">
        <v>20</v>
      </c>
      <c r="I35" s="85" t="s">
        <v>102</v>
      </c>
    </row>
    <row r="36" spans="1:9" ht="15.75" customHeight="1">
      <c r="A36" s="85">
        <v>1</v>
      </c>
      <c r="B36" s="85">
        <v>1</v>
      </c>
      <c r="C36" s="85" t="s">
        <v>157</v>
      </c>
      <c r="D36" s="85">
        <v>5</v>
      </c>
      <c r="E36" s="85" t="s">
        <v>167</v>
      </c>
      <c r="F36" s="85" t="s">
        <v>168</v>
      </c>
      <c r="G36" s="85" t="s">
        <v>160</v>
      </c>
      <c r="H36" s="85" t="s">
        <v>169</v>
      </c>
      <c r="I36" s="85" t="s">
        <v>102</v>
      </c>
    </row>
    <row r="37" spans="1:9" ht="15.75" customHeight="1">
      <c r="A37" s="85">
        <v>1</v>
      </c>
      <c r="B37" s="85">
        <v>1</v>
      </c>
      <c r="C37" s="85" t="s">
        <v>157</v>
      </c>
      <c r="D37" s="85">
        <v>6</v>
      </c>
      <c r="E37" s="85" t="s">
        <v>170</v>
      </c>
      <c r="F37" s="85" t="s">
        <v>171</v>
      </c>
      <c r="G37" s="85" t="s">
        <v>160</v>
      </c>
      <c r="H37" s="85" t="s">
        <v>172</v>
      </c>
      <c r="I37" s="85" t="s">
        <v>102</v>
      </c>
    </row>
    <row r="38" spans="1:9" ht="15.75" customHeight="1">
      <c r="A38" s="85">
        <v>1</v>
      </c>
      <c r="B38" s="85">
        <v>2</v>
      </c>
      <c r="C38" s="85" t="s">
        <v>173</v>
      </c>
      <c r="D38" s="85">
        <v>1</v>
      </c>
      <c r="E38" s="85" t="s">
        <v>174</v>
      </c>
      <c r="F38" s="85" t="s">
        <v>175</v>
      </c>
      <c r="G38" s="85" t="s">
        <v>84</v>
      </c>
      <c r="H38" s="85" t="s">
        <v>176</v>
      </c>
      <c r="I38" s="85" t="s">
        <v>57</v>
      </c>
    </row>
    <row r="39" spans="1:9" ht="15.75" customHeight="1">
      <c r="A39" s="85">
        <v>1</v>
      </c>
      <c r="B39" s="85">
        <v>2</v>
      </c>
      <c r="C39" s="85" t="s">
        <v>173</v>
      </c>
      <c r="D39" s="85">
        <v>2</v>
      </c>
      <c r="E39" s="85" t="s">
        <v>177</v>
      </c>
      <c r="F39" s="85" t="s">
        <v>178</v>
      </c>
      <c r="G39" s="85" t="s">
        <v>84</v>
      </c>
      <c r="H39" s="85" t="s">
        <v>179</v>
      </c>
      <c r="I39" s="85" t="s">
        <v>57</v>
      </c>
    </row>
    <row r="40" spans="1:9" ht="15.75" customHeight="1">
      <c r="A40" s="85">
        <v>1</v>
      </c>
      <c r="B40" s="85">
        <v>2</v>
      </c>
      <c r="C40" s="85" t="s">
        <v>173</v>
      </c>
      <c r="D40" s="85">
        <v>3</v>
      </c>
      <c r="E40" s="85" t="s">
        <v>180</v>
      </c>
      <c r="F40" s="85" t="s">
        <v>181</v>
      </c>
      <c r="G40" s="85" t="s">
        <v>84</v>
      </c>
      <c r="H40" s="85" t="s">
        <v>179</v>
      </c>
      <c r="I40" s="85" t="s">
        <v>57</v>
      </c>
    </row>
    <row r="41" spans="1:9" ht="15.75" customHeight="1">
      <c r="A41" s="85">
        <v>1</v>
      </c>
      <c r="B41" s="85">
        <v>2</v>
      </c>
      <c r="C41" s="85" t="s">
        <v>173</v>
      </c>
      <c r="D41" s="85">
        <v>4</v>
      </c>
      <c r="E41" s="85" t="s">
        <v>182</v>
      </c>
      <c r="F41" s="85" t="s">
        <v>183</v>
      </c>
      <c r="G41" s="85" t="s">
        <v>84</v>
      </c>
      <c r="H41" s="85" t="s">
        <v>179</v>
      </c>
      <c r="I41" s="85" t="s">
        <v>57</v>
      </c>
    </row>
    <row r="42" spans="1:9" ht="15.75" customHeight="1">
      <c r="A42" s="85">
        <v>1</v>
      </c>
      <c r="B42" s="85">
        <v>2</v>
      </c>
      <c r="C42" s="85" t="s">
        <v>173</v>
      </c>
      <c r="D42" s="85">
        <v>5</v>
      </c>
      <c r="E42" s="85" t="s">
        <v>184</v>
      </c>
      <c r="F42" s="85" t="s">
        <v>185</v>
      </c>
      <c r="G42" s="85" t="s">
        <v>84</v>
      </c>
      <c r="H42" s="85" t="s">
        <v>176</v>
      </c>
      <c r="I42" s="85" t="s">
        <v>57</v>
      </c>
    </row>
    <row r="43" spans="1:9" ht="15.75" customHeight="1">
      <c r="A43" s="85">
        <v>1</v>
      </c>
      <c r="B43" s="85">
        <v>2</v>
      </c>
      <c r="C43" s="85" t="s">
        <v>173</v>
      </c>
      <c r="D43" s="85">
        <v>6</v>
      </c>
      <c r="E43" s="85" t="s">
        <v>186</v>
      </c>
      <c r="F43" s="85" t="s">
        <v>187</v>
      </c>
      <c r="G43" s="85" t="s">
        <v>84</v>
      </c>
      <c r="H43" s="85" t="s">
        <v>188</v>
      </c>
      <c r="I43" s="85" t="s">
        <v>57</v>
      </c>
    </row>
    <row r="44" spans="1:9" ht="15.75" customHeight="1">
      <c r="A44" s="85">
        <v>1</v>
      </c>
      <c r="B44" s="85">
        <v>2</v>
      </c>
      <c r="C44" s="85" t="s">
        <v>189</v>
      </c>
      <c r="D44" s="85">
        <v>1</v>
      </c>
      <c r="E44" s="85" t="s">
        <v>190</v>
      </c>
      <c r="F44" s="85" t="s">
        <v>191</v>
      </c>
      <c r="G44" s="85" t="s">
        <v>84</v>
      </c>
      <c r="H44" s="85" t="s">
        <v>192</v>
      </c>
      <c r="I44" s="85" t="s">
        <v>58</v>
      </c>
    </row>
    <row r="45" spans="1:9" ht="15.75" customHeight="1">
      <c r="A45" s="85">
        <v>1</v>
      </c>
      <c r="B45" s="85">
        <v>2</v>
      </c>
      <c r="C45" s="85" t="s">
        <v>189</v>
      </c>
      <c r="D45" s="85">
        <v>2</v>
      </c>
      <c r="E45" s="85" t="s">
        <v>193</v>
      </c>
      <c r="F45" s="85" t="s">
        <v>194</v>
      </c>
      <c r="G45" s="85" t="s">
        <v>84</v>
      </c>
      <c r="H45" s="85" t="s">
        <v>195</v>
      </c>
      <c r="I45" s="85" t="s">
        <v>58</v>
      </c>
    </row>
    <row r="46" spans="1:9" ht="15.75" customHeight="1">
      <c r="A46" s="85">
        <v>1</v>
      </c>
      <c r="B46" s="85">
        <v>2</v>
      </c>
      <c r="C46" s="85" t="s">
        <v>189</v>
      </c>
      <c r="D46" s="85">
        <v>3</v>
      </c>
      <c r="E46" s="85" t="s">
        <v>196</v>
      </c>
      <c r="F46" s="85" t="s">
        <v>197</v>
      </c>
      <c r="G46" s="85" t="s">
        <v>84</v>
      </c>
      <c r="H46" s="85" t="s">
        <v>198</v>
      </c>
      <c r="I46" s="85" t="s">
        <v>58</v>
      </c>
    </row>
    <row r="47" spans="1:9" ht="15.75" customHeight="1">
      <c r="A47" s="85">
        <v>1</v>
      </c>
      <c r="B47" s="85">
        <v>2</v>
      </c>
      <c r="C47" s="85" t="s">
        <v>189</v>
      </c>
      <c r="D47" s="85">
        <v>4</v>
      </c>
      <c r="E47" s="85" t="s">
        <v>199</v>
      </c>
      <c r="F47" s="85" t="s">
        <v>200</v>
      </c>
      <c r="G47" s="85" t="s">
        <v>84</v>
      </c>
      <c r="H47" s="85" t="s">
        <v>109</v>
      </c>
      <c r="I47" s="85" t="s">
        <v>58</v>
      </c>
    </row>
    <row r="48" spans="1:9" ht="13">
      <c r="A48" s="85">
        <v>1</v>
      </c>
      <c r="B48" s="85">
        <v>2</v>
      </c>
      <c r="C48" s="85" t="s">
        <v>189</v>
      </c>
      <c r="D48" s="85">
        <v>5</v>
      </c>
      <c r="E48" s="85" t="s">
        <v>201</v>
      </c>
      <c r="F48" s="85" t="s">
        <v>202</v>
      </c>
      <c r="G48" s="85" t="s">
        <v>84</v>
      </c>
      <c r="H48" s="85" t="s">
        <v>101</v>
      </c>
      <c r="I48" s="85" t="s">
        <v>58</v>
      </c>
    </row>
    <row r="49" spans="1:9" ht="13">
      <c r="A49" s="85">
        <v>1</v>
      </c>
      <c r="B49" s="85">
        <v>2</v>
      </c>
      <c r="C49" s="85" t="s">
        <v>189</v>
      </c>
      <c r="D49" s="85">
        <v>6</v>
      </c>
      <c r="E49" s="85" t="s">
        <v>203</v>
      </c>
      <c r="F49" s="85" t="s">
        <v>204</v>
      </c>
      <c r="G49" s="85" t="s">
        <v>84</v>
      </c>
      <c r="H49" s="85" t="s">
        <v>101</v>
      </c>
      <c r="I49" s="85" t="s">
        <v>58</v>
      </c>
    </row>
    <row r="50" spans="1:9" ht="13">
      <c r="A50" s="85">
        <v>1</v>
      </c>
      <c r="B50" s="85">
        <v>2</v>
      </c>
      <c r="C50" s="85" t="s">
        <v>205</v>
      </c>
      <c r="D50" s="85">
        <v>1</v>
      </c>
      <c r="E50" s="85" t="s">
        <v>206</v>
      </c>
      <c r="F50" s="85" t="s">
        <v>207</v>
      </c>
      <c r="G50" s="85">
        <v>1.4</v>
      </c>
      <c r="H50" s="85" t="s">
        <v>8</v>
      </c>
      <c r="I50" s="85" t="s">
        <v>55</v>
      </c>
    </row>
    <row r="51" spans="1:9" ht="13">
      <c r="A51" s="85">
        <v>1</v>
      </c>
      <c r="B51" s="85">
        <v>2</v>
      </c>
      <c r="C51" s="85" t="s">
        <v>205</v>
      </c>
      <c r="D51" s="85">
        <v>2</v>
      </c>
      <c r="E51" s="85" t="s">
        <v>208</v>
      </c>
      <c r="F51" s="85" t="s">
        <v>209</v>
      </c>
      <c r="G51" s="85">
        <v>1.4</v>
      </c>
      <c r="H51" s="85" t="s">
        <v>8</v>
      </c>
      <c r="I51" s="85" t="s">
        <v>55</v>
      </c>
    </row>
    <row r="52" spans="1:9" ht="13">
      <c r="A52" s="85">
        <v>1</v>
      </c>
      <c r="B52" s="85">
        <v>2</v>
      </c>
      <c r="C52" s="85" t="s">
        <v>205</v>
      </c>
      <c r="D52" s="85">
        <v>3</v>
      </c>
      <c r="E52" s="85" t="s">
        <v>210</v>
      </c>
      <c r="F52" s="85" t="s">
        <v>211</v>
      </c>
      <c r="G52" s="85">
        <v>1.4</v>
      </c>
      <c r="H52" s="85" t="s">
        <v>212</v>
      </c>
      <c r="I52" s="85" t="s">
        <v>55</v>
      </c>
    </row>
    <row r="53" spans="1:9" ht="13">
      <c r="A53" s="85">
        <v>1</v>
      </c>
      <c r="B53" s="85">
        <v>2</v>
      </c>
      <c r="C53" s="85" t="s">
        <v>205</v>
      </c>
      <c r="D53" s="85">
        <v>4</v>
      </c>
      <c r="E53" s="85" t="s">
        <v>210</v>
      </c>
      <c r="F53" s="85" t="s">
        <v>211</v>
      </c>
      <c r="G53" s="85">
        <v>1.4</v>
      </c>
      <c r="H53" s="85" t="s">
        <v>212</v>
      </c>
      <c r="I53" s="85" t="s">
        <v>55</v>
      </c>
    </row>
    <row r="54" spans="1:9" ht="13">
      <c r="A54" s="85">
        <v>1</v>
      </c>
      <c r="B54" s="85">
        <v>2</v>
      </c>
      <c r="C54" s="85" t="s">
        <v>205</v>
      </c>
      <c r="D54" s="85">
        <v>5</v>
      </c>
      <c r="E54" s="85" t="s">
        <v>213</v>
      </c>
      <c r="F54" s="85" t="s">
        <v>214</v>
      </c>
      <c r="G54" s="85">
        <v>1.4</v>
      </c>
      <c r="H54" s="85" t="s">
        <v>109</v>
      </c>
      <c r="I54" s="85" t="s">
        <v>55</v>
      </c>
    </row>
    <row r="55" spans="1:9" ht="13">
      <c r="A55" s="85">
        <v>1</v>
      </c>
      <c r="B55" s="85">
        <v>2</v>
      </c>
      <c r="C55" s="85" t="s">
        <v>205</v>
      </c>
      <c r="D55" s="85">
        <v>6</v>
      </c>
      <c r="E55" s="85" t="s">
        <v>215</v>
      </c>
      <c r="F55" s="85" t="s">
        <v>216</v>
      </c>
      <c r="G55" s="85">
        <v>1.4</v>
      </c>
      <c r="H55" s="85" t="s">
        <v>101</v>
      </c>
      <c r="I55" s="85" t="s">
        <v>55</v>
      </c>
    </row>
    <row r="56" spans="1:9" ht="13">
      <c r="A56" s="85">
        <v>1</v>
      </c>
      <c r="B56" s="85">
        <v>2</v>
      </c>
      <c r="C56" s="85" t="s">
        <v>217</v>
      </c>
      <c r="D56" s="85">
        <v>1</v>
      </c>
      <c r="E56" s="85" t="s">
        <v>218</v>
      </c>
      <c r="F56" s="85" t="s">
        <v>219</v>
      </c>
      <c r="G56" s="85" t="s">
        <v>117</v>
      </c>
      <c r="H56" s="85" t="s">
        <v>10</v>
      </c>
      <c r="I56" s="85" t="s">
        <v>220</v>
      </c>
    </row>
    <row r="57" spans="1:9" ht="13">
      <c r="A57" s="85">
        <v>1</v>
      </c>
      <c r="B57" s="85">
        <v>2</v>
      </c>
      <c r="C57" s="85" t="s">
        <v>217</v>
      </c>
      <c r="D57" s="85">
        <v>2</v>
      </c>
      <c r="E57" s="85" t="s">
        <v>221</v>
      </c>
      <c r="F57" s="85" t="s">
        <v>222</v>
      </c>
      <c r="G57" s="85" t="s">
        <v>117</v>
      </c>
      <c r="H57" s="85" t="s">
        <v>223</v>
      </c>
      <c r="I57" s="85" t="s">
        <v>220</v>
      </c>
    </row>
    <row r="58" spans="1:9" ht="13">
      <c r="A58" s="85">
        <v>1</v>
      </c>
      <c r="B58" s="85">
        <v>2</v>
      </c>
      <c r="C58" s="85" t="s">
        <v>217</v>
      </c>
      <c r="D58" s="85">
        <v>3</v>
      </c>
      <c r="E58" s="85" t="s">
        <v>224</v>
      </c>
      <c r="F58" s="85" t="s">
        <v>225</v>
      </c>
      <c r="G58" s="85" t="s">
        <v>117</v>
      </c>
      <c r="H58" s="85" t="s">
        <v>223</v>
      </c>
      <c r="I58" s="85" t="s">
        <v>220</v>
      </c>
    </row>
    <row r="59" spans="1:9" ht="13">
      <c r="A59" s="85">
        <v>1</v>
      </c>
      <c r="B59" s="85">
        <v>2</v>
      </c>
      <c r="C59" s="85" t="s">
        <v>217</v>
      </c>
      <c r="D59" s="85">
        <v>4</v>
      </c>
      <c r="E59" s="85" t="s">
        <v>226</v>
      </c>
      <c r="F59" s="85" t="s">
        <v>227</v>
      </c>
      <c r="G59" s="85" t="s">
        <v>117</v>
      </c>
      <c r="H59" s="85" t="s">
        <v>223</v>
      </c>
      <c r="I59" s="85" t="s">
        <v>220</v>
      </c>
    </row>
    <row r="60" spans="1:9" ht="13">
      <c r="A60" s="85">
        <v>1</v>
      </c>
      <c r="B60" s="85">
        <v>2</v>
      </c>
      <c r="C60" s="85" t="s">
        <v>217</v>
      </c>
      <c r="D60" s="85">
        <v>5</v>
      </c>
      <c r="E60" s="85" t="s">
        <v>228</v>
      </c>
      <c r="F60" s="85" t="s">
        <v>229</v>
      </c>
      <c r="G60" s="85" t="s">
        <v>117</v>
      </c>
      <c r="H60" s="85" t="s">
        <v>223</v>
      </c>
      <c r="I60" s="85" t="s">
        <v>220</v>
      </c>
    </row>
    <row r="61" spans="1:9" ht="13">
      <c r="A61" s="85">
        <v>1</v>
      </c>
      <c r="B61" s="85">
        <v>2</v>
      </c>
      <c r="C61" s="85" t="s">
        <v>217</v>
      </c>
      <c r="D61" s="85">
        <v>6</v>
      </c>
      <c r="E61" s="85" t="s">
        <v>230</v>
      </c>
      <c r="F61" s="85" t="s">
        <v>231</v>
      </c>
      <c r="G61" s="85" t="s">
        <v>117</v>
      </c>
      <c r="H61" s="85" t="s">
        <v>232</v>
      </c>
      <c r="I61" s="85" t="s">
        <v>220</v>
      </c>
    </row>
    <row r="62" spans="1:9" ht="13">
      <c r="A62" s="85">
        <v>1</v>
      </c>
      <c r="B62" s="85">
        <v>2</v>
      </c>
      <c r="C62" s="85" t="s">
        <v>233</v>
      </c>
      <c r="D62" s="85">
        <v>1</v>
      </c>
      <c r="E62" s="85" t="s">
        <v>234</v>
      </c>
      <c r="F62" s="85" t="s">
        <v>235</v>
      </c>
      <c r="G62" s="85" t="s">
        <v>160</v>
      </c>
      <c r="H62" s="85" t="s">
        <v>18</v>
      </c>
      <c r="I62" s="85" t="s">
        <v>102</v>
      </c>
    </row>
    <row r="63" spans="1:9" ht="13">
      <c r="A63" s="85">
        <v>1</v>
      </c>
      <c r="B63" s="85">
        <v>2</v>
      </c>
      <c r="C63" s="85" t="s">
        <v>233</v>
      </c>
      <c r="D63" s="85">
        <v>2</v>
      </c>
      <c r="E63" s="85" t="s">
        <v>236</v>
      </c>
      <c r="F63" s="85" t="s">
        <v>237</v>
      </c>
      <c r="G63" s="85" t="s">
        <v>160</v>
      </c>
      <c r="H63" s="85" t="s">
        <v>18</v>
      </c>
      <c r="I63" s="85" t="s">
        <v>102</v>
      </c>
    </row>
    <row r="64" spans="1:9" ht="13">
      <c r="A64" s="85">
        <v>1</v>
      </c>
      <c r="B64" s="85">
        <v>2</v>
      </c>
      <c r="C64" s="85" t="s">
        <v>233</v>
      </c>
      <c r="D64" s="85">
        <v>3</v>
      </c>
      <c r="E64" s="85" t="s">
        <v>238</v>
      </c>
      <c r="F64" s="85" t="s">
        <v>239</v>
      </c>
      <c r="G64" s="85" t="s">
        <v>160</v>
      </c>
      <c r="H64" s="85" t="s">
        <v>240</v>
      </c>
      <c r="I64" s="85" t="s">
        <v>102</v>
      </c>
    </row>
    <row r="65" spans="1:9" ht="13">
      <c r="A65" s="85">
        <v>1</v>
      </c>
      <c r="B65" s="85">
        <v>2</v>
      </c>
      <c r="C65" s="85" t="s">
        <v>233</v>
      </c>
      <c r="D65" s="85">
        <v>4</v>
      </c>
      <c r="E65" s="85" t="s">
        <v>241</v>
      </c>
      <c r="F65" s="85" t="s">
        <v>242</v>
      </c>
      <c r="G65" s="85" t="s">
        <v>160</v>
      </c>
      <c r="H65" s="85" t="s">
        <v>172</v>
      </c>
      <c r="I65" s="85" t="s">
        <v>102</v>
      </c>
    </row>
    <row r="66" spans="1:9" ht="13">
      <c r="A66" s="85">
        <v>1</v>
      </c>
      <c r="B66" s="85">
        <v>2</v>
      </c>
      <c r="C66" s="85" t="s">
        <v>233</v>
      </c>
      <c r="D66" s="85">
        <v>5</v>
      </c>
      <c r="E66" s="85" t="s">
        <v>243</v>
      </c>
      <c r="F66" s="85" t="s">
        <v>244</v>
      </c>
      <c r="G66" s="85" t="s">
        <v>160</v>
      </c>
      <c r="H66" s="85" t="s">
        <v>154</v>
      </c>
      <c r="I66" s="85" t="s">
        <v>102</v>
      </c>
    </row>
    <row r="67" spans="1:9" ht="13">
      <c r="A67" s="85">
        <v>1</v>
      </c>
      <c r="B67" s="85">
        <v>2</v>
      </c>
      <c r="C67" s="85" t="s">
        <v>233</v>
      </c>
      <c r="D67" s="85">
        <v>6</v>
      </c>
      <c r="E67" s="85" t="s">
        <v>245</v>
      </c>
      <c r="F67" s="85" t="s">
        <v>246</v>
      </c>
      <c r="G67" s="85" t="s">
        <v>160</v>
      </c>
      <c r="H67" s="85" t="s">
        <v>172</v>
      </c>
      <c r="I67" s="85" t="s">
        <v>102</v>
      </c>
    </row>
    <row r="68" spans="1:9" ht="13">
      <c r="A68" s="85">
        <v>1</v>
      </c>
      <c r="B68" s="85">
        <v>2</v>
      </c>
      <c r="C68" s="85" t="s">
        <v>247</v>
      </c>
      <c r="D68" s="85">
        <v>1</v>
      </c>
      <c r="E68" s="85" t="s">
        <v>248</v>
      </c>
      <c r="F68" s="85" t="s">
        <v>249</v>
      </c>
      <c r="G68" s="85" t="s">
        <v>250</v>
      </c>
      <c r="H68" s="85" t="s">
        <v>20</v>
      </c>
      <c r="I68" s="85" t="s">
        <v>102</v>
      </c>
    </row>
    <row r="69" spans="1:9" ht="13">
      <c r="A69" s="85">
        <v>1</v>
      </c>
      <c r="B69" s="85">
        <v>2</v>
      </c>
      <c r="C69" s="85" t="s">
        <v>247</v>
      </c>
      <c r="D69" s="85">
        <v>2</v>
      </c>
      <c r="E69" s="85" t="s">
        <v>251</v>
      </c>
      <c r="F69" s="85" t="s">
        <v>252</v>
      </c>
      <c r="G69" s="85" t="s">
        <v>250</v>
      </c>
      <c r="H69" s="85" t="s">
        <v>20</v>
      </c>
      <c r="I69" s="85" t="s">
        <v>102</v>
      </c>
    </row>
    <row r="70" spans="1:9" ht="13">
      <c r="A70" s="85">
        <v>1</v>
      </c>
      <c r="B70" s="85">
        <v>2</v>
      </c>
      <c r="C70" s="85" t="s">
        <v>247</v>
      </c>
      <c r="D70" s="85">
        <v>3</v>
      </c>
      <c r="E70" s="85" t="s">
        <v>253</v>
      </c>
      <c r="F70" s="85" t="s">
        <v>254</v>
      </c>
      <c r="G70" s="85" t="s">
        <v>250</v>
      </c>
      <c r="H70" s="85" t="s">
        <v>169</v>
      </c>
      <c r="I70" s="85" t="s">
        <v>102</v>
      </c>
    </row>
    <row r="71" spans="1:9" ht="13">
      <c r="A71" s="85">
        <v>1</v>
      </c>
      <c r="B71" s="85">
        <v>2</v>
      </c>
      <c r="C71" s="85" t="s">
        <v>247</v>
      </c>
      <c r="D71" s="85">
        <v>4</v>
      </c>
      <c r="E71" s="85" t="s">
        <v>255</v>
      </c>
      <c r="F71" s="85" t="s">
        <v>256</v>
      </c>
      <c r="G71" s="85" t="s">
        <v>250</v>
      </c>
      <c r="H71" s="85" t="s">
        <v>169</v>
      </c>
      <c r="I71" s="85" t="s">
        <v>102</v>
      </c>
    </row>
    <row r="72" spans="1:9" ht="13">
      <c r="A72" s="85">
        <v>1</v>
      </c>
      <c r="B72" s="85">
        <v>2</v>
      </c>
      <c r="C72" s="85" t="s">
        <v>247</v>
      </c>
      <c r="D72" s="85">
        <v>5</v>
      </c>
      <c r="E72" s="85" t="s">
        <v>257</v>
      </c>
      <c r="F72" s="85" t="s">
        <v>258</v>
      </c>
      <c r="G72" s="85" t="s">
        <v>250</v>
      </c>
      <c r="H72" s="85" t="s">
        <v>169</v>
      </c>
      <c r="I72" s="85" t="s">
        <v>102</v>
      </c>
    </row>
    <row r="73" spans="1:9" ht="13">
      <c r="A73" s="85">
        <v>1</v>
      </c>
      <c r="B73" s="85">
        <v>2</v>
      </c>
      <c r="C73" s="85" t="s">
        <v>247</v>
      </c>
      <c r="D73" s="85">
        <v>6</v>
      </c>
      <c r="E73" s="85" t="s">
        <v>259</v>
      </c>
      <c r="F73" s="85" t="s">
        <v>260</v>
      </c>
      <c r="G73" s="85" t="s">
        <v>250</v>
      </c>
      <c r="H73" s="85" t="s">
        <v>169</v>
      </c>
      <c r="I73" s="85" t="s">
        <v>102</v>
      </c>
    </row>
    <row r="78" spans="1:9" ht="112">
      <c r="F78" s="13" t="s">
        <v>260</v>
      </c>
    </row>
  </sheetData>
  <conditionalFormatting sqref="F78">
    <cfRule type="expression" dxfId="1" priority="1">
      <formula>$Y78=1</formula>
    </cfRule>
  </conditionalFormatting>
  <conditionalFormatting sqref="F78">
    <cfRule type="expression" dxfId="0" priority="2">
      <formula>$Y78=0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I145"/>
  <sheetViews>
    <sheetView workbookViewId="0"/>
  </sheetViews>
  <sheetFormatPr baseColWidth="10" defaultColWidth="12.6640625" defaultRowHeight="15.75" customHeight="1"/>
  <sheetData>
    <row r="1" spans="1:9" ht="15.75" customHeight="1">
      <c r="A1" s="85" t="s">
        <v>75</v>
      </c>
      <c r="B1" s="85" t="s">
        <v>76</v>
      </c>
      <c r="C1" s="85" t="s">
        <v>77</v>
      </c>
      <c r="D1" s="85" t="s">
        <v>78</v>
      </c>
      <c r="E1" s="85" t="s">
        <v>79</v>
      </c>
      <c r="F1" s="85" t="s">
        <v>80</v>
      </c>
      <c r="G1" s="85" t="s">
        <v>80</v>
      </c>
      <c r="H1" s="85" t="s">
        <v>80</v>
      </c>
      <c r="I1" s="85" t="s">
        <v>80</v>
      </c>
    </row>
    <row r="2" spans="1:9" ht="15.75" customHeight="1">
      <c r="A2" s="85">
        <v>2</v>
      </c>
      <c r="B2" s="85">
        <v>3</v>
      </c>
      <c r="C2" s="85" t="s">
        <v>261</v>
      </c>
      <c r="D2" s="85">
        <v>1</v>
      </c>
      <c r="E2" s="85" t="s">
        <v>262</v>
      </c>
      <c r="F2" s="85" t="s">
        <v>263</v>
      </c>
      <c r="G2" s="85" t="s">
        <v>264</v>
      </c>
      <c r="H2" s="85" t="s">
        <v>14</v>
      </c>
      <c r="I2" s="85" t="s">
        <v>102</v>
      </c>
    </row>
    <row r="3" spans="1:9" ht="15.75" customHeight="1">
      <c r="A3" s="85">
        <v>2</v>
      </c>
      <c r="B3" s="85">
        <v>3</v>
      </c>
      <c r="C3" s="85" t="s">
        <v>261</v>
      </c>
      <c r="D3" s="85">
        <v>2</v>
      </c>
      <c r="E3" s="85" t="s">
        <v>265</v>
      </c>
      <c r="F3" s="85" t="s">
        <v>266</v>
      </c>
      <c r="G3" s="85" t="s">
        <v>264</v>
      </c>
      <c r="H3" s="85" t="s">
        <v>14</v>
      </c>
      <c r="I3" s="85" t="s">
        <v>102</v>
      </c>
    </row>
    <row r="4" spans="1:9" ht="15.75" customHeight="1">
      <c r="A4" s="85">
        <v>2</v>
      </c>
      <c r="B4" s="85">
        <v>3</v>
      </c>
      <c r="C4" s="85" t="s">
        <v>261</v>
      </c>
      <c r="D4" s="85">
        <v>3</v>
      </c>
      <c r="E4" s="85" t="s">
        <v>267</v>
      </c>
      <c r="F4" s="85" t="s">
        <v>268</v>
      </c>
      <c r="G4" s="85" t="s">
        <v>264</v>
      </c>
      <c r="H4" s="85" t="s">
        <v>85</v>
      </c>
      <c r="I4" s="85" t="s">
        <v>102</v>
      </c>
    </row>
    <row r="5" spans="1:9" ht="15.75" customHeight="1">
      <c r="A5" s="85">
        <v>2</v>
      </c>
      <c r="B5" s="85">
        <v>3</v>
      </c>
      <c r="C5" s="85" t="s">
        <v>261</v>
      </c>
      <c r="D5" s="85">
        <v>4</v>
      </c>
      <c r="E5" s="85" t="s">
        <v>269</v>
      </c>
      <c r="F5" s="85" t="s">
        <v>270</v>
      </c>
      <c r="G5" s="85" t="s">
        <v>264</v>
      </c>
      <c r="H5" s="85" t="s">
        <v>271</v>
      </c>
      <c r="I5" s="85" t="s">
        <v>102</v>
      </c>
    </row>
    <row r="6" spans="1:9" ht="15.75" customHeight="1">
      <c r="A6" s="85">
        <v>2</v>
      </c>
      <c r="B6" s="85">
        <v>3</v>
      </c>
      <c r="C6" s="85" t="s">
        <v>261</v>
      </c>
      <c r="D6" s="85">
        <v>5</v>
      </c>
      <c r="E6" s="85" t="s">
        <v>272</v>
      </c>
      <c r="F6" s="85" t="s">
        <v>273</v>
      </c>
      <c r="G6" s="85" t="s">
        <v>264</v>
      </c>
      <c r="H6" s="85" t="s">
        <v>271</v>
      </c>
      <c r="I6" s="85" t="s">
        <v>102</v>
      </c>
    </row>
    <row r="7" spans="1:9" ht="15.75" customHeight="1">
      <c r="A7" s="85">
        <v>2</v>
      </c>
      <c r="B7" s="85">
        <v>3</v>
      </c>
      <c r="C7" s="85" t="s">
        <v>261</v>
      </c>
      <c r="D7" s="85">
        <v>6</v>
      </c>
      <c r="E7" s="85" t="s">
        <v>274</v>
      </c>
      <c r="F7" s="85" t="s">
        <v>275</v>
      </c>
      <c r="G7" s="85" t="s">
        <v>264</v>
      </c>
      <c r="H7" s="85" t="s">
        <v>271</v>
      </c>
      <c r="I7" s="85" t="s">
        <v>102</v>
      </c>
    </row>
    <row r="8" spans="1:9" ht="15.75" customHeight="1">
      <c r="A8" s="85">
        <v>2</v>
      </c>
      <c r="B8" s="85">
        <v>3</v>
      </c>
      <c r="C8" s="85" t="s">
        <v>276</v>
      </c>
      <c r="D8" s="85">
        <v>1</v>
      </c>
      <c r="E8" s="85" t="s">
        <v>277</v>
      </c>
      <c r="F8" s="85" t="s">
        <v>278</v>
      </c>
      <c r="G8" s="85" t="s">
        <v>279</v>
      </c>
      <c r="H8" s="85" t="s">
        <v>101</v>
      </c>
      <c r="I8" s="85" t="s">
        <v>60</v>
      </c>
    </row>
    <row r="9" spans="1:9" ht="15.75" customHeight="1">
      <c r="A9" s="85">
        <v>2</v>
      </c>
      <c r="B9" s="85">
        <v>3</v>
      </c>
      <c r="C9" s="85" t="s">
        <v>276</v>
      </c>
      <c r="D9" s="85">
        <v>2</v>
      </c>
      <c r="E9" s="85" t="s">
        <v>280</v>
      </c>
      <c r="F9" s="85" t="s">
        <v>281</v>
      </c>
      <c r="G9" s="85" t="s">
        <v>279</v>
      </c>
      <c r="H9" s="85" t="s">
        <v>101</v>
      </c>
      <c r="I9" s="85" t="s">
        <v>60</v>
      </c>
    </row>
    <row r="10" spans="1:9" ht="15.75" customHeight="1">
      <c r="A10" s="85">
        <v>2</v>
      </c>
      <c r="B10" s="85">
        <v>3</v>
      </c>
      <c r="C10" s="85" t="s">
        <v>276</v>
      </c>
      <c r="D10" s="85">
        <v>3</v>
      </c>
      <c r="E10" s="85" t="s">
        <v>282</v>
      </c>
      <c r="F10" s="85" t="s">
        <v>283</v>
      </c>
      <c r="G10" s="85" t="s">
        <v>279</v>
      </c>
      <c r="H10" s="85" t="s">
        <v>198</v>
      </c>
      <c r="I10" s="85" t="s">
        <v>60</v>
      </c>
    </row>
    <row r="11" spans="1:9" ht="15.75" customHeight="1">
      <c r="A11" s="85">
        <v>2</v>
      </c>
      <c r="B11" s="85">
        <v>3</v>
      </c>
      <c r="C11" s="85" t="s">
        <v>276</v>
      </c>
      <c r="D11" s="85">
        <v>4</v>
      </c>
      <c r="E11" s="85" t="s">
        <v>284</v>
      </c>
      <c r="F11" s="85" t="s">
        <v>285</v>
      </c>
      <c r="G11" s="85" t="s">
        <v>279</v>
      </c>
      <c r="H11" s="85" t="s">
        <v>109</v>
      </c>
      <c r="I11" s="85" t="s">
        <v>60</v>
      </c>
    </row>
    <row r="12" spans="1:9" ht="15.75" customHeight="1">
      <c r="A12" s="85">
        <v>2</v>
      </c>
      <c r="B12" s="85">
        <v>3</v>
      </c>
      <c r="C12" s="85" t="s">
        <v>276</v>
      </c>
      <c r="D12" s="85">
        <v>5</v>
      </c>
      <c r="E12" s="85" t="s">
        <v>286</v>
      </c>
      <c r="F12" s="85" t="s">
        <v>287</v>
      </c>
      <c r="G12" s="85" t="s">
        <v>279</v>
      </c>
      <c r="H12" s="85" t="s">
        <v>109</v>
      </c>
      <c r="I12" s="85" t="s">
        <v>60</v>
      </c>
    </row>
    <row r="13" spans="1:9" ht="15.75" customHeight="1">
      <c r="A13" s="85">
        <v>2</v>
      </c>
      <c r="B13" s="85">
        <v>3</v>
      </c>
      <c r="C13" s="85" t="s">
        <v>276</v>
      </c>
      <c r="D13" s="85">
        <v>6</v>
      </c>
      <c r="E13" s="85" t="s">
        <v>288</v>
      </c>
      <c r="F13" s="85" t="s">
        <v>289</v>
      </c>
      <c r="G13" s="85" t="s">
        <v>279</v>
      </c>
      <c r="H13" s="85" t="s">
        <v>109</v>
      </c>
      <c r="I13" s="85" t="s">
        <v>60</v>
      </c>
    </row>
    <row r="14" spans="1:9" ht="15.75" customHeight="1">
      <c r="A14" s="85">
        <v>2</v>
      </c>
      <c r="B14" s="85">
        <v>3</v>
      </c>
      <c r="C14" s="85" t="s">
        <v>290</v>
      </c>
      <c r="D14" s="85">
        <v>1</v>
      </c>
      <c r="E14" s="85" t="s">
        <v>291</v>
      </c>
      <c r="F14" s="85" t="s">
        <v>292</v>
      </c>
      <c r="G14" s="85" t="s">
        <v>293</v>
      </c>
      <c r="H14" s="85" t="s">
        <v>8</v>
      </c>
      <c r="I14" s="85" t="s">
        <v>60</v>
      </c>
    </row>
    <row r="15" spans="1:9" ht="15.75" customHeight="1">
      <c r="A15" s="85">
        <v>2</v>
      </c>
      <c r="B15" s="85">
        <v>3</v>
      </c>
      <c r="C15" s="85" t="s">
        <v>290</v>
      </c>
      <c r="D15" s="85">
        <v>2</v>
      </c>
      <c r="E15" s="85" t="s">
        <v>294</v>
      </c>
      <c r="F15" s="85" t="s">
        <v>295</v>
      </c>
      <c r="G15" s="85" t="s">
        <v>293</v>
      </c>
      <c r="H15" s="85" t="s">
        <v>101</v>
      </c>
      <c r="I15" s="85" t="s">
        <v>60</v>
      </c>
    </row>
    <row r="16" spans="1:9" ht="15.75" customHeight="1">
      <c r="A16" s="85">
        <v>2</v>
      </c>
      <c r="B16" s="85">
        <v>3</v>
      </c>
      <c r="C16" s="85" t="s">
        <v>290</v>
      </c>
      <c r="D16" s="85">
        <v>3</v>
      </c>
      <c r="E16" s="85" t="s">
        <v>296</v>
      </c>
      <c r="F16" s="85" t="s">
        <v>297</v>
      </c>
      <c r="G16" s="85" t="s">
        <v>293</v>
      </c>
      <c r="H16" s="85" t="s">
        <v>101</v>
      </c>
      <c r="I16" s="85" t="s">
        <v>60</v>
      </c>
    </row>
    <row r="17" spans="1:9" ht="15.75" customHeight="1">
      <c r="A17" s="85">
        <v>2</v>
      </c>
      <c r="B17" s="85">
        <v>3</v>
      </c>
      <c r="C17" s="85" t="s">
        <v>290</v>
      </c>
      <c r="D17" s="85">
        <v>4</v>
      </c>
      <c r="E17" s="85" t="s">
        <v>298</v>
      </c>
      <c r="F17" s="85" t="s">
        <v>299</v>
      </c>
      <c r="G17" s="85" t="s">
        <v>293</v>
      </c>
      <c r="H17" s="85" t="s">
        <v>101</v>
      </c>
      <c r="I17" s="85" t="s">
        <v>60</v>
      </c>
    </row>
    <row r="18" spans="1:9" ht="15.75" customHeight="1">
      <c r="A18" s="85">
        <v>2</v>
      </c>
      <c r="B18" s="85">
        <v>3</v>
      </c>
      <c r="C18" s="85" t="s">
        <v>290</v>
      </c>
      <c r="D18" s="85">
        <v>5</v>
      </c>
      <c r="E18" s="85" t="s">
        <v>300</v>
      </c>
      <c r="F18" s="85" t="s">
        <v>301</v>
      </c>
      <c r="G18" s="85" t="s">
        <v>293</v>
      </c>
      <c r="H18" s="85" t="s">
        <v>109</v>
      </c>
      <c r="I18" s="85" t="s">
        <v>60</v>
      </c>
    </row>
    <row r="19" spans="1:9" ht="15.75" customHeight="1">
      <c r="A19" s="85">
        <v>2</v>
      </c>
      <c r="B19" s="85">
        <v>3</v>
      </c>
      <c r="C19" s="85" t="s">
        <v>290</v>
      </c>
      <c r="D19" s="85">
        <v>6</v>
      </c>
      <c r="E19" s="85" t="s">
        <v>302</v>
      </c>
      <c r="F19" s="85" t="s">
        <v>303</v>
      </c>
      <c r="G19" s="85" t="s">
        <v>293</v>
      </c>
      <c r="H19" s="85" t="s">
        <v>304</v>
      </c>
      <c r="I19" s="85" t="s">
        <v>60</v>
      </c>
    </row>
    <row r="20" spans="1:9" ht="15.75" customHeight="1">
      <c r="A20" s="85">
        <v>2</v>
      </c>
      <c r="B20" s="85">
        <v>3</v>
      </c>
      <c r="C20" s="85" t="s">
        <v>305</v>
      </c>
      <c r="D20" s="85">
        <v>1</v>
      </c>
      <c r="E20" s="85" t="s">
        <v>306</v>
      </c>
      <c r="F20" s="85" t="s">
        <v>307</v>
      </c>
      <c r="G20" s="85">
        <v>2.6</v>
      </c>
      <c r="H20" s="85" t="s">
        <v>10</v>
      </c>
      <c r="I20" s="85" t="s">
        <v>102</v>
      </c>
    </row>
    <row r="21" spans="1:9" ht="15.75" customHeight="1">
      <c r="A21" s="85">
        <v>2</v>
      </c>
      <c r="B21" s="85">
        <v>3</v>
      </c>
      <c r="C21" s="85" t="s">
        <v>305</v>
      </c>
      <c r="D21" s="85">
        <v>2</v>
      </c>
      <c r="E21" s="85" t="s">
        <v>308</v>
      </c>
      <c r="F21" s="85" t="s">
        <v>309</v>
      </c>
      <c r="G21" s="85">
        <v>2.6</v>
      </c>
      <c r="H21" s="85" t="s">
        <v>10</v>
      </c>
      <c r="I21" s="85" t="s">
        <v>102</v>
      </c>
    </row>
    <row r="22" spans="1:9" ht="15.75" customHeight="1">
      <c r="A22" s="85">
        <v>2</v>
      </c>
      <c r="B22" s="85">
        <v>3</v>
      </c>
      <c r="C22" s="85" t="s">
        <v>305</v>
      </c>
      <c r="D22" s="85">
        <v>3</v>
      </c>
      <c r="E22" s="85" t="s">
        <v>310</v>
      </c>
      <c r="F22" s="85" t="s">
        <v>311</v>
      </c>
      <c r="G22" s="85">
        <v>2.6</v>
      </c>
      <c r="H22" s="85" t="s">
        <v>223</v>
      </c>
      <c r="I22" s="85" t="s">
        <v>102</v>
      </c>
    </row>
    <row r="23" spans="1:9" ht="15.75" customHeight="1">
      <c r="A23" s="85">
        <v>2</v>
      </c>
      <c r="B23" s="85">
        <v>3</v>
      </c>
      <c r="C23" s="85" t="s">
        <v>305</v>
      </c>
      <c r="D23" s="85">
        <v>4</v>
      </c>
      <c r="E23" s="85" t="s">
        <v>312</v>
      </c>
      <c r="F23" s="85" t="s">
        <v>313</v>
      </c>
      <c r="G23" s="85">
        <v>2.6</v>
      </c>
      <c r="H23" s="85" t="s">
        <v>314</v>
      </c>
      <c r="I23" s="85" t="s">
        <v>102</v>
      </c>
    </row>
    <row r="24" spans="1:9" ht="15.75" customHeight="1">
      <c r="A24" s="85">
        <v>2</v>
      </c>
      <c r="B24" s="85">
        <v>3</v>
      </c>
      <c r="C24" s="85" t="s">
        <v>305</v>
      </c>
      <c r="D24" s="85">
        <v>5</v>
      </c>
      <c r="E24" s="85" t="s">
        <v>315</v>
      </c>
      <c r="F24" s="85" t="s">
        <v>316</v>
      </c>
      <c r="G24" s="85">
        <v>2.6</v>
      </c>
      <c r="H24" s="85" t="s">
        <v>223</v>
      </c>
      <c r="I24" s="85" t="s">
        <v>102</v>
      </c>
    </row>
    <row r="25" spans="1:9" ht="15.75" customHeight="1">
      <c r="A25" s="85">
        <v>2</v>
      </c>
      <c r="B25" s="85">
        <v>3</v>
      </c>
      <c r="C25" s="85" t="s">
        <v>305</v>
      </c>
      <c r="D25" s="85">
        <v>6</v>
      </c>
      <c r="E25" s="85" t="s">
        <v>317</v>
      </c>
      <c r="F25" s="85" t="s">
        <v>318</v>
      </c>
      <c r="G25" s="85">
        <v>2.6</v>
      </c>
      <c r="H25" s="85" t="s">
        <v>319</v>
      </c>
      <c r="I25" s="85" t="s">
        <v>102</v>
      </c>
    </row>
    <row r="26" spans="1:9" ht="15.75" customHeight="1">
      <c r="A26" s="85">
        <v>2</v>
      </c>
      <c r="B26" s="85">
        <v>3</v>
      </c>
      <c r="C26" s="85" t="s">
        <v>320</v>
      </c>
      <c r="D26" s="85">
        <v>1</v>
      </c>
      <c r="E26" s="85" t="s">
        <v>321</v>
      </c>
      <c r="F26" s="85" t="s">
        <v>322</v>
      </c>
      <c r="G26" s="85" t="s">
        <v>323</v>
      </c>
      <c r="H26" s="85" t="s">
        <v>324</v>
      </c>
      <c r="I26" s="85" t="s">
        <v>102</v>
      </c>
    </row>
    <row r="27" spans="1:9" ht="15.75" customHeight="1">
      <c r="A27" s="85">
        <v>2</v>
      </c>
      <c r="B27" s="85">
        <v>3</v>
      </c>
      <c r="C27" s="85" t="s">
        <v>320</v>
      </c>
      <c r="D27" s="85">
        <v>2</v>
      </c>
      <c r="E27" s="85" t="s">
        <v>325</v>
      </c>
      <c r="F27" s="85" t="s">
        <v>326</v>
      </c>
      <c r="G27" s="85" t="s">
        <v>323</v>
      </c>
      <c r="H27" s="85" t="s">
        <v>20</v>
      </c>
      <c r="I27" s="85" t="s">
        <v>102</v>
      </c>
    </row>
    <row r="28" spans="1:9" ht="15.75" customHeight="1">
      <c r="A28" s="85">
        <v>2</v>
      </c>
      <c r="B28" s="85">
        <v>3</v>
      </c>
      <c r="C28" s="85" t="s">
        <v>320</v>
      </c>
      <c r="D28" s="85">
        <v>3</v>
      </c>
      <c r="E28" s="85" t="s">
        <v>327</v>
      </c>
      <c r="F28" s="85" t="s">
        <v>328</v>
      </c>
      <c r="G28" s="85" t="s">
        <v>323</v>
      </c>
      <c r="H28" s="85" t="s">
        <v>20</v>
      </c>
      <c r="I28" s="85" t="s">
        <v>102</v>
      </c>
    </row>
    <row r="29" spans="1:9" ht="15.75" customHeight="1">
      <c r="A29" s="85">
        <v>2</v>
      </c>
      <c r="B29" s="85">
        <v>3</v>
      </c>
      <c r="C29" s="85" t="s">
        <v>320</v>
      </c>
      <c r="D29" s="85">
        <v>4</v>
      </c>
      <c r="E29" s="85" t="s">
        <v>329</v>
      </c>
      <c r="F29" s="85" t="s">
        <v>330</v>
      </c>
      <c r="G29" s="85" t="s">
        <v>323</v>
      </c>
      <c r="H29" s="85" t="s">
        <v>20</v>
      </c>
      <c r="I29" s="85" t="s">
        <v>102</v>
      </c>
    </row>
    <row r="30" spans="1:9" ht="15.75" customHeight="1">
      <c r="A30" s="85">
        <v>2</v>
      </c>
      <c r="B30" s="85">
        <v>3</v>
      </c>
      <c r="C30" s="85" t="s">
        <v>320</v>
      </c>
      <c r="D30" s="85">
        <v>5</v>
      </c>
      <c r="E30" s="85" t="s">
        <v>331</v>
      </c>
      <c r="F30" s="85" t="s">
        <v>332</v>
      </c>
      <c r="G30" s="85" t="s">
        <v>323</v>
      </c>
      <c r="H30" s="85" t="s">
        <v>169</v>
      </c>
      <c r="I30" s="85" t="s">
        <v>102</v>
      </c>
    </row>
    <row r="31" spans="1:9" ht="15.75" customHeight="1">
      <c r="A31" s="85">
        <v>2</v>
      </c>
      <c r="B31" s="85">
        <v>3</v>
      </c>
      <c r="C31" s="85" t="s">
        <v>320</v>
      </c>
      <c r="D31" s="85">
        <v>6</v>
      </c>
      <c r="E31" s="85" t="s">
        <v>333</v>
      </c>
      <c r="F31" s="85" t="s">
        <v>334</v>
      </c>
      <c r="G31" s="85" t="s">
        <v>323</v>
      </c>
      <c r="H31" s="85" t="s">
        <v>335</v>
      </c>
      <c r="I31" s="85" t="s">
        <v>102</v>
      </c>
    </row>
    <row r="32" spans="1:9" ht="15.75" customHeight="1">
      <c r="A32" s="85">
        <v>2</v>
      </c>
      <c r="B32" s="85">
        <v>3</v>
      </c>
      <c r="C32" s="85" t="s">
        <v>336</v>
      </c>
      <c r="D32" s="85">
        <v>1</v>
      </c>
      <c r="E32" s="85" t="s">
        <v>337</v>
      </c>
      <c r="F32" s="85" t="s">
        <v>338</v>
      </c>
      <c r="G32" s="85" t="s">
        <v>323</v>
      </c>
      <c r="H32" s="85" t="s">
        <v>324</v>
      </c>
      <c r="I32" s="85" t="s">
        <v>102</v>
      </c>
    </row>
    <row r="33" spans="1:9" ht="15.75" customHeight="1">
      <c r="A33" s="85">
        <v>2</v>
      </c>
      <c r="B33" s="85">
        <v>3</v>
      </c>
      <c r="C33" s="85" t="s">
        <v>336</v>
      </c>
      <c r="D33" s="85">
        <v>2</v>
      </c>
      <c r="E33" s="85" t="s">
        <v>339</v>
      </c>
      <c r="F33" s="85" t="s">
        <v>340</v>
      </c>
      <c r="G33" s="85" t="s">
        <v>323</v>
      </c>
      <c r="H33" s="85" t="s">
        <v>324</v>
      </c>
      <c r="I33" s="85" t="s">
        <v>102</v>
      </c>
    </row>
    <row r="34" spans="1:9" ht="15.75" customHeight="1">
      <c r="A34" s="85">
        <v>2</v>
      </c>
      <c r="B34" s="85">
        <v>3</v>
      </c>
      <c r="C34" s="85" t="s">
        <v>336</v>
      </c>
      <c r="D34" s="85">
        <v>3</v>
      </c>
      <c r="E34" s="85" t="s">
        <v>341</v>
      </c>
      <c r="F34" s="85" t="s">
        <v>342</v>
      </c>
      <c r="G34" s="85" t="s">
        <v>323</v>
      </c>
      <c r="H34" s="85" t="s">
        <v>20</v>
      </c>
      <c r="I34" s="85" t="s">
        <v>102</v>
      </c>
    </row>
    <row r="35" spans="1:9" ht="15.75" customHeight="1">
      <c r="A35" s="85">
        <v>2</v>
      </c>
      <c r="B35" s="85">
        <v>3</v>
      </c>
      <c r="C35" s="85" t="s">
        <v>336</v>
      </c>
      <c r="D35" s="85">
        <v>4</v>
      </c>
      <c r="E35" s="85" t="s">
        <v>343</v>
      </c>
      <c r="F35" s="85" t="s">
        <v>344</v>
      </c>
      <c r="G35" s="85" t="s">
        <v>323</v>
      </c>
      <c r="H35" s="85" t="s">
        <v>20</v>
      </c>
      <c r="I35" s="85" t="s">
        <v>102</v>
      </c>
    </row>
    <row r="36" spans="1:9" ht="15.75" customHeight="1">
      <c r="A36" s="85">
        <v>2</v>
      </c>
      <c r="B36" s="85">
        <v>3</v>
      </c>
      <c r="C36" s="85" t="s">
        <v>336</v>
      </c>
      <c r="D36" s="85">
        <v>5</v>
      </c>
      <c r="E36" s="85" t="s">
        <v>345</v>
      </c>
      <c r="F36" s="85" t="s">
        <v>346</v>
      </c>
      <c r="G36" s="85" t="s">
        <v>323</v>
      </c>
      <c r="H36" s="85" t="s">
        <v>169</v>
      </c>
      <c r="I36" s="85" t="s">
        <v>102</v>
      </c>
    </row>
    <row r="37" spans="1:9" ht="15.75" customHeight="1">
      <c r="A37" s="85">
        <v>2</v>
      </c>
      <c r="B37" s="85">
        <v>3</v>
      </c>
      <c r="C37" s="85" t="s">
        <v>336</v>
      </c>
      <c r="D37" s="85">
        <v>6</v>
      </c>
      <c r="E37" s="85" t="s">
        <v>347</v>
      </c>
      <c r="F37" s="85" t="s">
        <v>348</v>
      </c>
      <c r="G37" s="85" t="s">
        <v>323</v>
      </c>
      <c r="H37" s="85" t="s">
        <v>169</v>
      </c>
      <c r="I37" s="85" t="s">
        <v>102</v>
      </c>
    </row>
    <row r="38" spans="1:9" ht="15.75" customHeight="1">
      <c r="A38" s="85">
        <v>2</v>
      </c>
      <c r="B38" s="85">
        <v>4</v>
      </c>
      <c r="C38" s="85" t="s">
        <v>349</v>
      </c>
      <c r="D38" s="85">
        <v>1</v>
      </c>
      <c r="E38" s="85" t="s">
        <v>350</v>
      </c>
      <c r="F38" s="85" t="s">
        <v>351</v>
      </c>
      <c r="G38" s="85" t="s">
        <v>352</v>
      </c>
      <c r="H38" s="85" t="s">
        <v>353</v>
      </c>
      <c r="I38" s="85" t="s">
        <v>354</v>
      </c>
    </row>
    <row r="39" spans="1:9" ht="15.75" customHeight="1">
      <c r="A39" s="85">
        <v>2</v>
      </c>
      <c r="B39" s="85">
        <v>4</v>
      </c>
      <c r="C39" s="85" t="s">
        <v>349</v>
      </c>
      <c r="D39" s="85">
        <v>2</v>
      </c>
      <c r="E39" s="85" t="s">
        <v>355</v>
      </c>
      <c r="F39" s="85" t="s">
        <v>356</v>
      </c>
      <c r="G39" s="85" t="s">
        <v>352</v>
      </c>
      <c r="H39" s="85" t="s">
        <v>6</v>
      </c>
      <c r="I39" s="85" t="s">
        <v>354</v>
      </c>
    </row>
    <row r="40" spans="1:9" ht="15.75" customHeight="1">
      <c r="A40" s="85">
        <v>2</v>
      </c>
      <c r="B40" s="85">
        <v>4</v>
      </c>
      <c r="C40" s="85" t="s">
        <v>349</v>
      </c>
      <c r="D40" s="85">
        <v>3</v>
      </c>
      <c r="E40" s="85" t="s">
        <v>357</v>
      </c>
      <c r="F40" s="85" t="s">
        <v>358</v>
      </c>
      <c r="G40" s="85" t="s">
        <v>352</v>
      </c>
      <c r="H40" s="85" t="s">
        <v>6</v>
      </c>
      <c r="I40" s="85" t="s">
        <v>354</v>
      </c>
    </row>
    <row r="41" spans="1:9" ht="15.75" customHeight="1">
      <c r="A41" s="85">
        <v>2</v>
      </c>
      <c r="B41" s="85">
        <v>4</v>
      </c>
      <c r="C41" s="85" t="s">
        <v>349</v>
      </c>
      <c r="D41" s="85">
        <v>4</v>
      </c>
      <c r="E41" s="85" t="s">
        <v>359</v>
      </c>
      <c r="F41" s="85" t="s">
        <v>360</v>
      </c>
      <c r="G41" s="85" t="s">
        <v>352</v>
      </c>
      <c r="H41" s="85" t="s">
        <v>361</v>
      </c>
      <c r="I41" s="85" t="s">
        <v>354</v>
      </c>
    </row>
    <row r="42" spans="1:9" ht="15.75" customHeight="1">
      <c r="A42" s="85">
        <v>2</v>
      </c>
      <c r="B42" s="85">
        <v>4</v>
      </c>
      <c r="C42" s="85" t="s">
        <v>349</v>
      </c>
      <c r="D42" s="85">
        <v>5</v>
      </c>
      <c r="E42" s="85" t="s">
        <v>362</v>
      </c>
      <c r="F42" s="85" t="s">
        <v>363</v>
      </c>
      <c r="G42" s="85" t="s">
        <v>352</v>
      </c>
      <c r="H42" s="85" t="s">
        <v>6</v>
      </c>
      <c r="I42" s="85" t="s">
        <v>354</v>
      </c>
    </row>
    <row r="43" spans="1:9" ht="15.75" customHeight="1">
      <c r="A43" s="85">
        <v>2</v>
      </c>
      <c r="B43" s="85">
        <v>4</v>
      </c>
      <c r="C43" s="85" t="s">
        <v>349</v>
      </c>
      <c r="D43" s="85">
        <v>6</v>
      </c>
      <c r="E43" s="85" t="s">
        <v>364</v>
      </c>
      <c r="F43" s="85" t="s">
        <v>365</v>
      </c>
      <c r="G43" s="85" t="s">
        <v>352</v>
      </c>
      <c r="H43" s="85" t="s">
        <v>366</v>
      </c>
      <c r="I43" s="85" t="s">
        <v>354</v>
      </c>
    </row>
    <row r="44" spans="1:9" ht="15.75" customHeight="1">
      <c r="A44" s="85">
        <v>2</v>
      </c>
      <c r="B44" s="85">
        <v>4</v>
      </c>
      <c r="C44" s="85" t="s">
        <v>367</v>
      </c>
      <c r="D44" s="85">
        <v>1</v>
      </c>
      <c r="E44" s="85" t="s">
        <v>368</v>
      </c>
      <c r="F44" s="85" t="s">
        <v>369</v>
      </c>
      <c r="G44" s="85" t="s">
        <v>370</v>
      </c>
      <c r="H44" s="85" t="s">
        <v>371</v>
      </c>
      <c r="I44" s="85" t="s">
        <v>55</v>
      </c>
    </row>
    <row r="45" spans="1:9" ht="15.75" customHeight="1">
      <c r="A45" s="85">
        <v>2</v>
      </c>
      <c r="B45" s="85">
        <v>4</v>
      </c>
      <c r="C45" s="85" t="s">
        <v>367</v>
      </c>
      <c r="D45" s="85">
        <v>2</v>
      </c>
      <c r="E45" s="85" t="s">
        <v>372</v>
      </c>
      <c r="F45" s="85" t="s">
        <v>373</v>
      </c>
      <c r="G45" s="85" t="s">
        <v>370</v>
      </c>
      <c r="H45" s="85" t="s">
        <v>374</v>
      </c>
      <c r="I45" s="85" t="s">
        <v>55</v>
      </c>
    </row>
    <row r="46" spans="1:9" ht="15.75" customHeight="1">
      <c r="A46" s="85">
        <v>2</v>
      </c>
      <c r="B46" s="85">
        <v>4</v>
      </c>
      <c r="C46" s="85" t="s">
        <v>367</v>
      </c>
      <c r="D46" s="85">
        <v>3</v>
      </c>
      <c r="E46" s="85" t="s">
        <v>375</v>
      </c>
      <c r="F46" s="85" t="s">
        <v>376</v>
      </c>
      <c r="G46" s="85" t="s">
        <v>370</v>
      </c>
      <c r="H46" s="85" t="s">
        <v>377</v>
      </c>
      <c r="I46" s="85" t="s">
        <v>55</v>
      </c>
    </row>
    <row r="47" spans="1:9" ht="15.75" customHeight="1">
      <c r="A47" s="85">
        <v>2</v>
      </c>
      <c r="B47" s="85">
        <v>4</v>
      </c>
      <c r="C47" s="85" t="s">
        <v>367</v>
      </c>
      <c r="D47" s="85">
        <v>4</v>
      </c>
      <c r="E47" s="85" t="s">
        <v>378</v>
      </c>
      <c r="F47" s="85" t="s">
        <v>379</v>
      </c>
      <c r="G47" s="85" t="s">
        <v>370</v>
      </c>
      <c r="H47" s="85" t="s">
        <v>101</v>
      </c>
      <c r="I47" s="85" t="s">
        <v>55</v>
      </c>
    </row>
    <row r="48" spans="1:9" ht="13">
      <c r="A48" s="85">
        <v>2</v>
      </c>
      <c r="B48" s="85">
        <v>4</v>
      </c>
      <c r="C48" s="85" t="s">
        <v>367</v>
      </c>
      <c r="D48" s="85">
        <v>5</v>
      </c>
      <c r="E48" s="85" t="s">
        <v>380</v>
      </c>
      <c r="F48" s="85" t="s">
        <v>381</v>
      </c>
      <c r="G48" s="85" t="s">
        <v>370</v>
      </c>
      <c r="H48" s="85" t="s">
        <v>101</v>
      </c>
      <c r="I48" s="85" t="s">
        <v>55</v>
      </c>
    </row>
    <row r="49" spans="1:9" ht="13">
      <c r="A49" s="85">
        <v>2</v>
      </c>
      <c r="B49" s="85">
        <v>4</v>
      </c>
      <c r="C49" s="85" t="s">
        <v>367</v>
      </c>
      <c r="D49" s="85">
        <v>6</v>
      </c>
      <c r="E49" s="85" t="s">
        <v>382</v>
      </c>
      <c r="F49" s="85" t="s">
        <v>383</v>
      </c>
      <c r="G49" s="85" t="s">
        <v>370</v>
      </c>
      <c r="H49" s="85" t="s">
        <v>198</v>
      </c>
      <c r="I49" s="85" t="s">
        <v>55</v>
      </c>
    </row>
    <row r="50" spans="1:9" ht="13">
      <c r="A50" s="85">
        <v>2</v>
      </c>
      <c r="B50" s="85">
        <v>4</v>
      </c>
      <c r="C50" s="85" t="s">
        <v>384</v>
      </c>
      <c r="D50" s="85">
        <v>1</v>
      </c>
      <c r="E50" s="85" t="s">
        <v>385</v>
      </c>
      <c r="F50" s="85" t="s">
        <v>386</v>
      </c>
      <c r="G50" s="85" t="s">
        <v>370</v>
      </c>
      <c r="H50" s="85" t="s">
        <v>101</v>
      </c>
      <c r="I50" s="85" t="s">
        <v>61</v>
      </c>
    </row>
    <row r="51" spans="1:9" ht="13">
      <c r="A51" s="85">
        <v>2</v>
      </c>
      <c r="B51" s="85">
        <v>4</v>
      </c>
      <c r="C51" s="85" t="s">
        <v>384</v>
      </c>
      <c r="D51" s="85">
        <v>2</v>
      </c>
      <c r="E51" s="85" t="s">
        <v>387</v>
      </c>
      <c r="F51" s="85" t="s">
        <v>388</v>
      </c>
      <c r="G51" s="85" t="s">
        <v>370</v>
      </c>
      <c r="H51" s="85" t="s">
        <v>389</v>
      </c>
      <c r="I51" s="85" t="s">
        <v>61</v>
      </c>
    </row>
    <row r="52" spans="1:9" ht="13">
      <c r="A52" s="85">
        <v>2</v>
      </c>
      <c r="B52" s="85">
        <v>4</v>
      </c>
      <c r="C52" s="85" t="s">
        <v>384</v>
      </c>
      <c r="D52" s="85">
        <v>3</v>
      </c>
      <c r="E52" s="85" t="s">
        <v>390</v>
      </c>
      <c r="F52" s="85" t="s">
        <v>391</v>
      </c>
      <c r="G52" s="85" t="s">
        <v>370</v>
      </c>
      <c r="H52" s="85" t="s">
        <v>109</v>
      </c>
      <c r="I52" s="85" t="s">
        <v>61</v>
      </c>
    </row>
    <row r="53" spans="1:9" ht="13">
      <c r="A53" s="85">
        <v>2</v>
      </c>
      <c r="B53" s="85">
        <v>4</v>
      </c>
      <c r="C53" s="85" t="s">
        <v>384</v>
      </c>
      <c r="D53" s="85">
        <v>4</v>
      </c>
      <c r="E53" s="85" t="s">
        <v>392</v>
      </c>
      <c r="F53" s="85" t="s">
        <v>393</v>
      </c>
      <c r="G53" s="85" t="s">
        <v>370</v>
      </c>
      <c r="H53" s="85" t="s">
        <v>101</v>
      </c>
      <c r="I53" s="85" t="s">
        <v>61</v>
      </c>
    </row>
    <row r="54" spans="1:9" ht="13">
      <c r="A54" s="85">
        <v>2</v>
      </c>
      <c r="B54" s="85">
        <v>4</v>
      </c>
      <c r="C54" s="85" t="s">
        <v>384</v>
      </c>
      <c r="D54" s="85">
        <v>5</v>
      </c>
      <c r="E54" s="85" t="s">
        <v>394</v>
      </c>
      <c r="F54" s="85" t="s">
        <v>395</v>
      </c>
      <c r="G54" s="85" t="s">
        <v>370</v>
      </c>
      <c r="H54" s="85" t="s">
        <v>396</v>
      </c>
      <c r="I54" s="85" t="s">
        <v>61</v>
      </c>
    </row>
    <row r="55" spans="1:9" ht="13">
      <c r="A55" s="85">
        <v>2</v>
      </c>
      <c r="B55" s="85">
        <v>4</v>
      </c>
      <c r="C55" s="85" t="s">
        <v>384</v>
      </c>
      <c r="D55" s="85">
        <v>6</v>
      </c>
      <c r="E55" s="85" t="s">
        <v>397</v>
      </c>
      <c r="F55" s="85" t="s">
        <v>398</v>
      </c>
      <c r="G55" s="85" t="s">
        <v>370</v>
      </c>
      <c r="H55" s="85" t="s">
        <v>109</v>
      </c>
      <c r="I55" s="85" t="s">
        <v>61</v>
      </c>
    </row>
    <row r="56" spans="1:9" ht="13">
      <c r="A56" s="85">
        <v>2</v>
      </c>
      <c r="B56" s="85">
        <v>4</v>
      </c>
      <c r="C56" s="85" t="s">
        <v>399</v>
      </c>
      <c r="D56" s="85">
        <v>1</v>
      </c>
      <c r="E56" s="85" t="s">
        <v>400</v>
      </c>
      <c r="F56" s="85" t="s">
        <v>401</v>
      </c>
      <c r="G56" s="85" t="s">
        <v>402</v>
      </c>
      <c r="H56" s="85" t="s">
        <v>10</v>
      </c>
      <c r="I56" s="85" t="s">
        <v>102</v>
      </c>
    </row>
    <row r="57" spans="1:9" ht="13">
      <c r="A57" s="85">
        <v>2</v>
      </c>
      <c r="B57" s="85">
        <v>4</v>
      </c>
      <c r="C57" s="85" t="s">
        <v>399</v>
      </c>
      <c r="D57" s="85">
        <v>2</v>
      </c>
      <c r="E57" s="85" t="s">
        <v>403</v>
      </c>
      <c r="F57" s="85" t="s">
        <v>404</v>
      </c>
      <c r="G57" s="85" t="s">
        <v>402</v>
      </c>
      <c r="H57" s="85" t="s">
        <v>405</v>
      </c>
      <c r="I57" s="85" t="s">
        <v>102</v>
      </c>
    </row>
    <row r="58" spans="1:9" ht="13">
      <c r="A58" s="85">
        <v>2</v>
      </c>
      <c r="B58" s="85">
        <v>4</v>
      </c>
      <c r="C58" s="85" t="s">
        <v>399</v>
      </c>
      <c r="D58" s="85">
        <v>3</v>
      </c>
      <c r="E58" s="85" t="s">
        <v>406</v>
      </c>
      <c r="F58" s="85" t="s">
        <v>407</v>
      </c>
      <c r="G58" s="85" t="s">
        <v>402</v>
      </c>
      <c r="H58" s="85" t="s">
        <v>405</v>
      </c>
      <c r="I58" s="85" t="s">
        <v>102</v>
      </c>
    </row>
    <row r="59" spans="1:9" ht="13">
      <c r="A59" s="85">
        <v>2</v>
      </c>
      <c r="B59" s="85">
        <v>4</v>
      </c>
      <c r="C59" s="85" t="s">
        <v>399</v>
      </c>
      <c r="D59" s="85">
        <v>4</v>
      </c>
      <c r="E59" s="85" t="s">
        <v>408</v>
      </c>
      <c r="F59" s="85" t="s">
        <v>409</v>
      </c>
      <c r="G59" s="85" t="s">
        <v>402</v>
      </c>
      <c r="H59" s="85" t="s">
        <v>223</v>
      </c>
      <c r="I59" s="85" t="s">
        <v>102</v>
      </c>
    </row>
    <row r="60" spans="1:9" ht="13">
      <c r="A60" s="85">
        <v>2</v>
      </c>
      <c r="B60" s="85">
        <v>4</v>
      </c>
      <c r="C60" s="85" t="s">
        <v>399</v>
      </c>
      <c r="D60" s="85">
        <v>5</v>
      </c>
      <c r="E60" s="85" t="s">
        <v>410</v>
      </c>
      <c r="F60" s="85" t="s">
        <v>411</v>
      </c>
      <c r="G60" s="85" t="s">
        <v>402</v>
      </c>
      <c r="H60" s="85" t="s">
        <v>405</v>
      </c>
      <c r="I60" s="85" t="s">
        <v>102</v>
      </c>
    </row>
    <row r="61" spans="1:9" ht="13">
      <c r="A61" s="85">
        <v>2</v>
      </c>
      <c r="B61" s="85">
        <v>4</v>
      </c>
      <c r="C61" s="85" t="s">
        <v>399</v>
      </c>
      <c r="D61" s="85">
        <v>6</v>
      </c>
      <c r="E61" s="85" t="s">
        <v>412</v>
      </c>
      <c r="F61" s="85" t="s">
        <v>413</v>
      </c>
      <c r="G61" s="85" t="s">
        <v>402</v>
      </c>
      <c r="H61" s="85" t="s">
        <v>371</v>
      </c>
      <c r="I61" s="85" t="s">
        <v>102</v>
      </c>
    </row>
    <row r="62" spans="1:9" ht="13">
      <c r="A62" s="85">
        <v>2</v>
      </c>
      <c r="B62" s="85">
        <v>4</v>
      </c>
      <c r="C62" s="85" t="s">
        <v>414</v>
      </c>
      <c r="D62" s="85">
        <v>1</v>
      </c>
      <c r="E62" s="85" t="s">
        <v>415</v>
      </c>
      <c r="F62" s="85" t="s">
        <v>416</v>
      </c>
      <c r="G62" s="85" t="s">
        <v>323</v>
      </c>
      <c r="H62" s="85" t="s">
        <v>240</v>
      </c>
      <c r="I62" s="85" t="s">
        <v>102</v>
      </c>
    </row>
    <row r="63" spans="1:9" ht="13">
      <c r="A63" s="85">
        <v>2</v>
      </c>
      <c r="B63" s="85">
        <v>4</v>
      </c>
      <c r="C63" s="85" t="s">
        <v>414</v>
      </c>
      <c r="D63" s="85">
        <v>2</v>
      </c>
      <c r="E63" s="85" t="s">
        <v>417</v>
      </c>
      <c r="F63" s="85" t="s">
        <v>418</v>
      </c>
      <c r="G63" s="85" t="s">
        <v>323</v>
      </c>
      <c r="H63" s="85" t="s">
        <v>324</v>
      </c>
      <c r="I63" s="85" t="s">
        <v>102</v>
      </c>
    </row>
    <row r="64" spans="1:9" ht="13">
      <c r="A64" s="85">
        <v>2</v>
      </c>
      <c r="B64" s="85">
        <v>4</v>
      </c>
      <c r="C64" s="85" t="s">
        <v>414</v>
      </c>
      <c r="D64" s="85">
        <v>3</v>
      </c>
      <c r="E64" s="85" t="s">
        <v>419</v>
      </c>
      <c r="F64" s="85" t="s">
        <v>420</v>
      </c>
      <c r="G64" s="85" t="s">
        <v>323</v>
      </c>
      <c r="H64" s="85" t="s">
        <v>240</v>
      </c>
      <c r="I64" s="85" t="s">
        <v>102</v>
      </c>
    </row>
    <row r="65" spans="1:9" ht="13">
      <c r="A65" s="85">
        <v>2</v>
      </c>
      <c r="B65" s="85">
        <v>4</v>
      </c>
      <c r="C65" s="85" t="s">
        <v>414</v>
      </c>
      <c r="D65" s="85">
        <v>4</v>
      </c>
      <c r="E65" s="85" t="s">
        <v>421</v>
      </c>
      <c r="F65" s="85" t="s">
        <v>422</v>
      </c>
      <c r="G65" s="85" t="s">
        <v>323</v>
      </c>
      <c r="H65" s="85" t="s">
        <v>20</v>
      </c>
      <c r="I65" s="85" t="s">
        <v>102</v>
      </c>
    </row>
    <row r="66" spans="1:9" ht="13">
      <c r="A66" s="85">
        <v>2</v>
      </c>
      <c r="B66" s="85">
        <v>4</v>
      </c>
      <c r="C66" s="85" t="s">
        <v>414</v>
      </c>
      <c r="D66" s="85">
        <v>5</v>
      </c>
      <c r="E66" s="85" t="s">
        <v>423</v>
      </c>
      <c r="F66" s="85" t="s">
        <v>424</v>
      </c>
      <c r="G66" s="85" t="s">
        <v>323</v>
      </c>
      <c r="H66" s="85" t="s">
        <v>240</v>
      </c>
      <c r="I66" s="85" t="s">
        <v>102</v>
      </c>
    </row>
    <row r="67" spans="1:9" ht="13">
      <c r="A67" s="85">
        <v>2</v>
      </c>
      <c r="B67" s="85">
        <v>4</v>
      </c>
      <c r="C67" s="85" t="s">
        <v>414</v>
      </c>
      <c r="D67" s="85">
        <v>6</v>
      </c>
      <c r="E67" s="85" t="s">
        <v>425</v>
      </c>
      <c r="F67" s="85" t="s">
        <v>426</v>
      </c>
      <c r="G67" s="85" t="s">
        <v>323</v>
      </c>
      <c r="H67" s="85" t="s">
        <v>20</v>
      </c>
      <c r="I67" s="85" t="s">
        <v>102</v>
      </c>
    </row>
    <row r="68" spans="1:9" ht="13">
      <c r="A68" s="85">
        <v>2</v>
      </c>
      <c r="B68" s="85">
        <v>4</v>
      </c>
      <c r="C68" s="85" t="s">
        <v>427</v>
      </c>
      <c r="D68" s="85">
        <v>1</v>
      </c>
      <c r="E68" s="85" t="s">
        <v>428</v>
      </c>
      <c r="F68" s="85" t="s">
        <v>429</v>
      </c>
      <c r="G68" s="85" t="s">
        <v>430</v>
      </c>
      <c r="H68" s="85" t="s">
        <v>169</v>
      </c>
      <c r="I68" s="85" t="s">
        <v>102</v>
      </c>
    </row>
    <row r="69" spans="1:9" ht="13">
      <c r="A69" s="85">
        <v>2</v>
      </c>
      <c r="B69" s="85">
        <v>4</v>
      </c>
      <c r="C69" s="85" t="s">
        <v>427</v>
      </c>
      <c r="D69" s="85">
        <v>2</v>
      </c>
      <c r="E69" s="85" t="s">
        <v>431</v>
      </c>
      <c r="F69" s="85" t="s">
        <v>432</v>
      </c>
      <c r="G69" s="85" t="s">
        <v>430</v>
      </c>
      <c r="H69" s="85" t="s">
        <v>240</v>
      </c>
      <c r="I69" s="85" t="s">
        <v>102</v>
      </c>
    </row>
    <row r="70" spans="1:9" ht="13">
      <c r="A70" s="85">
        <v>2</v>
      </c>
      <c r="B70" s="85">
        <v>4</v>
      </c>
      <c r="C70" s="85" t="s">
        <v>427</v>
      </c>
      <c r="D70" s="85">
        <v>3</v>
      </c>
      <c r="E70" s="85" t="s">
        <v>433</v>
      </c>
      <c r="F70" s="85" t="s">
        <v>434</v>
      </c>
      <c r="G70" s="85" t="s">
        <v>430</v>
      </c>
      <c r="H70" s="85" t="s">
        <v>169</v>
      </c>
      <c r="I70" s="85" t="s">
        <v>102</v>
      </c>
    </row>
    <row r="71" spans="1:9" ht="13">
      <c r="A71" s="85">
        <v>2</v>
      </c>
      <c r="B71" s="85">
        <v>4</v>
      </c>
      <c r="C71" s="85" t="s">
        <v>427</v>
      </c>
      <c r="D71" s="85">
        <v>4</v>
      </c>
      <c r="E71" s="85" t="s">
        <v>435</v>
      </c>
      <c r="F71" s="85" t="s">
        <v>436</v>
      </c>
      <c r="G71" s="85" t="s">
        <v>430</v>
      </c>
      <c r="H71" s="85" t="s">
        <v>20</v>
      </c>
      <c r="I71" s="85" t="s">
        <v>102</v>
      </c>
    </row>
    <row r="72" spans="1:9" ht="13">
      <c r="A72" s="85">
        <v>2</v>
      </c>
      <c r="B72" s="85">
        <v>4</v>
      </c>
      <c r="C72" s="85" t="s">
        <v>427</v>
      </c>
      <c r="D72" s="85">
        <v>5</v>
      </c>
      <c r="E72" s="85" t="s">
        <v>437</v>
      </c>
      <c r="F72" s="85" t="s">
        <v>438</v>
      </c>
      <c r="G72" s="85" t="s">
        <v>430</v>
      </c>
      <c r="H72" s="85" t="s">
        <v>169</v>
      </c>
      <c r="I72" s="85" t="s">
        <v>102</v>
      </c>
    </row>
    <row r="73" spans="1:9" ht="13">
      <c r="A73" s="85">
        <v>2</v>
      </c>
      <c r="B73" s="85">
        <v>4</v>
      </c>
      <c r="C73" s="85" t="s">
        <v>427</v>
      </c>
      <c r="D73" s="85">
        <v>6</v>
      </c>
      <c r="E73" s="85" t="s">
        <v>439</v>
      </c>
      <c r="F73" s="85" t="s">
        <v>440</v>
      </c>
      <c r="G73" s="85" t="s">
        <v>430</v>
      </c>
      <c r="H73" s="85" t="s">
        <v>169</v>
      </c>
      <c r="I73" s="85" t="s">
        <v>102</v>
      </c>
    </row>
    <row r="74" spans="1:9" ht="13">
      <c r="A74" s="85">
        <v>2</v>
      </c>
      <c r="B74" s="85">
        <v>5</v>
      </c>
      <c r="C74" s="85" t="s">
        <v>441</v>
      </c>
      <c r="D74" s="85">
        <v>1</v>
      </c>
      <c r="E74" s="85" t="s">
        <v>442</v>
      </c>
      <c r="F74" s="85" t="s">
        <v>443</v>
      </c>
      <c r="G74" s="85" t="s">
        <v>444</v>
      </c>
      <c r="H74" s="85" t="s">
        <v>14</v>
      </c>
      <c r="I74" s="85" t="s">
        <v>55</v>
      </c>
    </row>
    <row r="75" spans="1:9" ht="13">
      <c r="A75" s="85">
        <v>2</v>
      </c>
      <c r="B75" s="85">
        <v>5</v>
      </c>
      <c r="C75" s="85" t="s">
        <v>441</v>
      </c>
      <c r="D75" s="85">
        <v>2</v>
      </c>
      <c r="E75" s="85" t="s">
        <v>445</v>
      </c>
      <c r="F75" s="85" t="s">
        <v>446</v>
      </c>
      <c r="G75" s="85" t="s">
        <v>444</v>
      </c>
      <c r="H75" s="85" t="s">
        <v>85</v>
      </c>
      <c r="I75" s="85" t="s">
        <v>55</v>
      </c>
    </row>
    <row r="76" spans="1:9" ht="13">
      <c r="A76" s="85">
        <v>2</v>
      </c>
      <c r="B76" s="85">
        <v>5</v>
      </c>
      <c r="C76" s="85" t="s">
        <v>441</v>
      </c>
      <c r="D76" s="85">
        <v>3</v>
      </c>
      <c r="E76" s="85" t="s">
        <v>447</v>
      </c>
      <c r="F76" s="85" t="s">
        <v>448</v>
      </c>
      <c r="G76" s="85" t="s">
        <v>444</v>
      </c>
      <c r="H76" s="85" t="s">
        <v>6</v>
      </c>
      <c r="I76" s="85" t="s">
        <v>55</v>
      </c>
    </row>
    <row r="77" spans="1:9" ht="13">
      <c r="A77" s="85">
        <v>2</v>
      </c>
      <c r="B77" s="85">
        <v>5</v>
      </c>
      <c r="C77" s="85" t="s">
        <v>441</v>
      </c>
      <c r="D77" s="85">
        <v>4</v>
      </c>
      <c r="E77" s="85" t="s">
        <v>449</v>
      </c>
      <c r="F77" s="85" t="s">
        <v>450</v>
      </c>
      <c r="G77" s="85" t="s">
        <v>444</v>
      </c>
      <c r="H77" s="85" t="s">
        <v>451</v>
      </c>
      <c r="I77" s="85" t="s">
        <v>55</v>
      </c>
    </row>
    <row r="78" spans="1:9" ht="13">
      <c r="A78" s="85">
        <v>2</v>
      </c>
      <c r="B78" s="85">
        <v>5</v>
      </c>
      <c r="C78" s="85" t="s">
        <v>441</v>
      </c>
      <c r="D78" s="85">
        <v>5</v>
      </c>
      <c r="E78" s="85" t="s">
        <v>452</v>
      </c>
      <c r="F78" s="85" t="s">
        <v>453</v>
      </c>
      <c r="G78" s="85" t="s">
        <v>444</v>
      </c>
      <c r="H78" s="85" t="s">
        <v>454</v>
      </c>
      <c r="I78" s="85" t="s">
        <v>55</v>
      </c>
    </row>
    <row r="79" spans="1:9" ht="13">
      <c r="A79" s="85">
        <v>2</v>
      </c>
      <c r="B79" s="85">
        <v>5</v>
      </c>
      <c r="C79" s="85" t="s">
        <v>441</v>
      </c>
      <c r="D79" s="85">
        <v>6</v>
      </c>
      <c r="E79" s="85" t="s">
        <v>455</v>
      </c>
      <c r="F79" s="85" t="s">
        <v>456</v>
      </c>
      <c r="G79" s="85" t="s">
        <v>444</v>
      </c>
      <c r="H79" s="85" t="s">
        <v>457</v>
      </c>
      <c r="I79" s="85" t="s">
        <v>55</v>
      </c>
    </row>
    <row r="80" spans="1:9" ht="13">
      <c r="A80" s="85">
        <v>2</v>
      </c>
      <c r="B80" s="85">
        <v>5</v>
      </c>
      <c r="C80" s="85" t="s">
        <v>458</v>
      </c>
      <c r="D80" s="85">
        <v>1</v>
      </c>
      <c r="E80" s="85" t="s">
        <v>459</v>
      </c>
      <c r="F80" s="85" t="s">
        <v>460</v>
      </c>
      <c r="G80" s="85">
        <v>2.6</v>
      </c>
      <c r="H80" s="85" t="s">
        <v>461</v>
      </c>
      <c r="I80" s="85" t="s">
        <v>55</v>
      </c>
    </row>
    <row r="81" spans="1:9" ht="13">
      <c r="A81" s="85">
        <v>2</v>
      </c>
      <c r="B81" s="85">
        <v>5</v>
      </c>
      <c r="C81" s="85" t="s">
        <v>458</v>
      </c>
      <c r="D81" s="85">
        <v>2</v>
      </c>
      <c r="E81" s="85" t="s">
        <v>462</v>
      </c>
      <c r="F81" s="85" t="s">
        <v>463</v>
      </c>
      <c r="G81" s="85">
        <v>2.6</v>
      </c>
      <c r="H81" s="85" t="s">
        <v>101</v>
      </c>
      <c r="I81" s="85" t="s">
        <v>55</v>
      </c>
    </row>
    <row r="82" spans="1:9" ht="13">
      <c r="A82" s="85">
        <v>2</v>
      </c>
      <c r="B82" s="85">
        <v>5</v>
      </c>
      <c r="C82" s="85" t="s">
        <v>458</v>
      </c>
      <c r="D82" s="85">
        <v>3</v>
      </c>
      <c r="E82" s="85" t="s">
        <v>464</v>
      </c>
      <c r="F82" s="85" t="s">
        <v>465</v>
      </c>
      <c r="G82" s="85">
        <v>2.6</v>
      </c>
      <c r="H82" s="85" t="s">
        <v>101</v>
      </c>
      <c r="I82" s="85" t="s">
        <v>55</v>
      </c>
    </row>
    <row r="83" spans="1:9" ht="13">
      <c r="A83" s="85">
        <v>2</v>
      </c>
      <c r="B83" s="85">
        <v>5</v>
      </c>
      <c r="C83" s="85" t="s">
        <v>458</v>
      </c>
      <c r="D83" s="85">
        <v>4</v>
      </c>
      <c r="E83" s="85" t="s">
        <v>466</v>
      </c>
      <c r="F83" s="85" t="s">
        <v>467</v>
      </c>
      <c r="G83" s="85">
        <v>2.6</v>
      </c>
      <c r="H83" s="85" t="s">
        <v>101</v>
      </c>
      <c r="I83" s="85" t="s">
        <v>55</v>
      </c>
    </row>
    <row r="84" spans="1:9" ht="13">
      <c r="A84" s="85">
        <v>2</v>
      </c>
      <c r="B84" s="85">
        <v>5</v>
      </c>
      <c r="C84" s="85" t="s">
        <v>458</v>
      </c>
      <c r="D84" s="85">
        <v>5</v>
      </c>
      <c r="E84" s="85" t="s">
        <v>468</v>
      </c>
      <c r="F84" s="85" t="s">
        <v>469</v>
      </c>
      <c r="G84" s="85">
        <v>2.6</v>
      </c>
      <c r="H84" s="85" t="s">
        <v>101</v>
      </c>
      <c r="I84" s="85" t="s">
        <v>55</v>
      </c>
    </row>
    <row r="85" spans="1:9" ht="13">
      <c r="A85" s="85">
        <v>2</v>
      </c>
      <c r="B85" s="85">
        <v>5</v>
      </c>
      <c r="C85" s="85" t="s">
        <v>458</v>
      </c>
      <c r="D85" s="85">
        <v>6</v>
      </c>
      <c r="E85" s="85" t="s">
        <v>470</v>
      </c>
      <c r="F85" s="85" t="s">
        <v>471</v>
      </c>
      <c r="G85" s="85">
        <v>2.6</v>
      </c>
      <c r="H85" s="85" t="s">
        <v>198</v>
      </c>
      <c r="I85" s="85" t="s">
        <v>55</v>
      </c>
    </row>
    <row r="86" spans="1:9" ht="13">
      <c r="A86" s="85">
        <v>2</v>
      </c>
      <c r="B86" s="85">
        <v>5</v>
      </c>
      <c r="C86" s="85" t="s">
        <v>472</v>
      </c>
      <c r="D86" s="85">
        <v>1</v>
      </c>
      <c r="E86" s="85" t="s">
        <v>473</v>
      </c>
      <c r="F86" s="85" t="s">
        <v>474</v>
      </c>
      <c r="G86" s="85" t="s">
        <v>370</v>
      </c>
      <c r="H86" s="85" t="s">
        <v>198</v>
      </c>
      <c r="I86" s="85" t="s">
        <v>62</v>
      </c>
    </row>
    <row r="87" spans="1:9" ht="13">
      <c r="A87" s="85">
        <v>2</v>
      </c>
      <c r="B87" s="85">
        <v>5</v>
      </c>
      <c r="C87" s="85" t="s">
        <v>472</v>
      </c>
      <c r="D87" s="85">
        <v>2</v>
      </c>
      <c r="E87" s="85" t="s">
        <v>475</v>
      </c>
      <c r="F87" s="85" t="s">
        <v>476</v>
      </c>
      <c r="G87" s="85" t="s">
        <v>370</v>
      </c>
      <c r="H87" s="85" t="s">
        <v>192</v>
      </c>
      <c r="I87" s="85" t="s">
        <v>62</v>
      </c>
    </row>
    <row r="88" spans="1:9" ht="13">
      <c r="A88" s="85">
        <v>2</v>
      </c>
      <c r="B88" s="85">
        <v>5</v>
      </c>
      <c r="C88" s="85" t="s">
        <v>472</v>
      </c>
      <c r="D88" s="85">
        <v>3</v>
      </c>
      <c r="E88" s="85" t="s">
        <v>477</v>
      </c>
      <c r="F88" s="85" t="s">
        <v>478</v>
      </c>
      <c r="G88" s="85" t="s">
        <v>370</v>
      </c>
      <c r="H88" s="85" t="s">
        <v>479</v>
      </c>
      <c r="I88" s="85" t="s">
        <v>62</v>
      </c>
    </row>
    <row r="89" spans="1:9" ht="13">
      <c r="A89" s="85">
        <v>2</v>
      </c>
      <c r="B89" s="85">
        <v>5</v>
      </c>
      <c r="C89" s="85" t="s">
        <v>472</v>
      </c>
      <c r="D89" s="85">
        <v>4</v>
      </c>
      <c r="E89" s="85" t="s">
        <v>480</v>
      </c>
      <c r="F89" s="85" t="s">
        <v>481</v>
      </c>
      <c r="G89" s="85" t="s">
        <v>370</v>
      </c>
      <c r="H89" s="85" t="s">
        <v>109</v>
      </c>
      <c r="I89" s="85" t="s">
        <v>62</v>
      </c>
    </row>
    <row r="90" spans="1:9" ht="13">
      <c r="A90" s="85">
        <v>2</v>
      </c>
      <c r="B90" s="85">
        <v>5</v>
      </c>
      <c r="C90" s="85" t="s">
        <v>472</v>
      </c>
      <c r="D90" s="85">
        <v>5</v>
      </c>
      <c r="E90" s="85" t="s">
        <v>482</v>
      </c>
      <c r="F90" s="85" t="s">
        <v>483</v>
      </c>
      <c r="G90" s="85" t="s">
        <v>370</v>
      </c>
      <c r="H90" s="85" t="s">
        <v>101</v>
      </c>
      <c r="I90" s="85" t="s">
        <v>62</v>
      </c>
    </row>
    <row r="91" spans="1:9" ht="13">
      <c r="A91" s="85">
        <v>2</v>
      </c>
      <c r="B91" s="85">
        <v>5</v>
      </c>
      <c r="C91" s="85" t="s">
        <v>472</v>
      </c>
      <c r="D91" s="85">
        <v>6</v>
      </c>
      <c r="E91" s="85" t="s">
        <v>484</v>
      </c>
      <c r="F91" s="85" t="s">
        <v>485</v>
      </c>
      <c r="G91" s="85" t="s">
        <v>370</v>
      </c>
      <c r="H91" s="85" t="s">
        <v>109</v>
      </c>
      <c r="I91" s="85" t="s">
        <v>62</v>
      </c>
    </row>
    <row r="92" spans="1:9" ht="13">
      <c r="A92" s="85">
        <v>2</v>
      </c>
      <c r="B92" s="85">
        <v>5</v>
      </c>
      <c r="C92" s="85" t="s">
        <v>486</v>
      </c>
      <c r="D92" s="85">
        <v>1</v>
      </c>
      <c r="E92" s="85" t="s">
        <v>487</v>
      </c>
      <c r="F92" s="85" t="s">
        <v>488</v>
      </c>
      <c r="G92" s="85" t="s">
        <v>293</v>
      </c>
      <c r="H92" s="85" t="s">
        <v>223</v>
      </c>
      <c r="I92" s="85" t="s">
        <v>102</v>
      </c>
    </row>
    <row r="93" spans="1:9" ht="13">
      <c r="A93" s="85">
        <v>2</v>
      </c>
      <c r="B93" s="85">
        <v>5</v>
      </c>
      <c r="C93" s="85" t="s">
        <v>486</v>
      </c>
      <c r="D93" s="85">
        <v>2</v>
      </c>
      <c r="E93" s="85" t="s">
        <v>489</v>
      </c>
      <c r="F93" s="85" t="s">
        <v>490</v>
      </c>
      <c r="G93" s="85" t="s">
        <v>293</v>
      </c>
      <c r="H93" s="85" t="s">
        <v>319</v>
      </c>
      <c r="I93" s="85" t="s">
        <v>102</v>
      </c>
    </row>
    <row r="94" spans="1:9" ht="13">
      <c r="A94" s="85">
        <v>2</v>
      </c>
      <c r="B94" s="85">
        <v>5</v>
      </c>
      <c r="C94" s="85" t="s">
        <v>486</v>
      </c>
      <c r="D94" s="85">
        <v>3</v>
      </c>
      <c r="E94" s="85" t="s">
        <v>491</v>
      </c>
      <c r="F94" s="85" t="s">
        <v>492</v>
      </c>
      <c r="G94" s="85" t="s">
        <v>293</v>
      </c>
      <c r="H94" s="85" t="s">
        <v>10</v>
      </c>
      <c r="I94" s="85" t="s">
        <v>102</v>
      </c>
    </row>
    <row r="95" spans="1:9" ht="13">
      <c r="A95" s="85">
        <v>2</v>
      </c>
      <c r="B95" s="85">
        <v>5</v>
      </c>
      <c r="C95" s="85" t="s">
        <v>486</v>
      </c>
      <c r="D95" s="85">
        <v>4</v>
      </c>
      <c r="E95" s="85" t="s">
        <v>493</v>
      </c>
      <c r="F95" s="85" t="s">
        <v>494</v>
      </c>
      <c r="G95" s="85" t="s">
        <v>293</v>
      </c>
      <c r="H95" s="85" t="s">
        <v>223</v>
      </c>
      <c r="I95" s="85" t="s">
        <v>102</v>
      </c>
    </row>
    <row r="96" spans="1:9" ht="13">
      <c r="A96" s="85">
        <v>2</v>
      </c>
      <c r="B96" s="85">
        <v>5</v>
      </c>
      <c r="C96" s="85" t="s">
        <v>486</v>
      </c>
      <c r="D96" s="85">
        <v>5</v>
      </c>
      <c r="E96" s="85" t="s">
        <v>495</v>
      </c>
      <c r="F96" s="85" t="s">
        <v>496</v>
      </c>
      <c r="G96" s="85" t="s">
        <v>293</v>
      </c>
      <c r="H96" s="85" t="s">
        <v>223</v>
      </c>
      <c r="I96" s="85" t="s">
        <v>102</v>
      </c>
    </row>
    <row r="97" spans="1:9" ht="13">
      <c r="A97" s="85">
        <v>2</v>
      </c>
      <c r="B97" s="85">
        <v>5</v>
      </c>
      <c r="C97" s="85" t="s">
        <v>486</v>
      </c>
      <c r="D97" s="85">
        <v>6</v>
      </c>
      <c r="E97" s="85" t="s">
        <v>497</v>
      </c>
      <c r="F97" s="85" t="s">
        <v>498</v>
      </c>
      <c r="G97" s="85" t="s">
        <v>293</v>
      </c>
      <c r="H97" s="85" t="s">
        <v>223</v>
      </c>
      <c r="I97" s="85" t="s">
        <v>102</v>
      </c>
    </row>
    <row r="98" spans="1:9" ht="13">
      <c r="A98" s="85">
        <v>2</v>
      </c>
      <c r="B98" s="85">
        <v>5</v>
      </c>
      <c r="C98" s="85" t="s">
        <v>499</v>
      </c>
      <c r="D98" s="85">
        <v>1</v>
      </c>
      <c r="E98" s="85" t="s">
        <v>500</v>
      </c>
      <c r="F98" s="85" t="s">
        <v>501</v>
      </c>
      <c r="G98" s="85" t="s">
        <v>323</v>
      </c>
      <c r="H98" s="85" t="s">
        <v>502</v>
      </c>
      <c r="I98" s="85" t="s">
        <v>102</v>
      </c>
    </row>
    <row r="99" spans="1:9" ht="13">
      <c r="A99" s="85">
        <v>2</v>
      </c>
      <c r="B99" s="85">
        <v>5</v>
      </c>
      <c r="C99" s="85" t="s">
        <v>499</v>
      </c>
      <c r="D99" s="85">
        <v>2</v>
      </c>
      <c r="E99" s="85" t="s">
        <v>503</v>
      </c>
      <c r="F99" s="85" t="s">
        <v>504</v>
      </c>
      <c r="G99" s="85" t="s">
        <v>323</v>
      </c>
      <c r="H99" s="85" t="s">
        <v>502</v>
      </c>
      <c r="I99" s="85" t="s">
        <v>102</v>
      </c>
    </row>
    <row r="100" spans="1:9" ht="13">
      <c r="A100" s="85">
        <v>2</v>
      </c>
      <c r="B100" s="85">
        <v>5</v>
      </c>
      <c r="C100" s="85" t="s">
        <v>499</v>
      </c>
      <c r="D100" s="85">
        <v>3</v>
      </c>
      <c r="E100" s="85" t="s">
        <v>505</v>
      </c>
      <c r="F100" s="85" t="s">
        <v>506</v>
      </c>
      <c r="G100" s="85" t="s">
        <v>323</v>
      </c>
      <c r="H100" s="85" t="s">
        <v>502</v>
      </c>
      <c r="I100" s="85" t="s">
        <v>102</v>
      </c>
    </row>
    <row r="101" spans="1:9" ht="13">
      <c r="A101" s="85">
        <v>2</v>
      </c>
      <c r="B101" s="85">
        <v>5</v>
      </c>
      <c r="C101" s="85" t="s">
        <v>499</v>
      </c>
      <c r="D101" s="85">
        <v>4</v>
      </c>
      <c r="E101" s="85" t="s">
        <v>507</v>
      </c>
      <c r="F101" s="85" t="s">
        <v>508</v>
      </c>
      <c r="G101" s="85" t="s">
        <v>323</v>
      </c>
      <c r="H101" s="85" t="s">
        <v>20</v>
      </c>
      <c r="I101" s="85" t="s">
        <v>102</v>
      </c>
    </row>
    <row r="102" spans="1:9" ht="13">
      <c r="A102" s="85">
        <v>2</v>
      </c>
      <c r="B102" s="85">
        <v>5</v>
      </c>
      <c r="C102" s="85" t="s">
        <v>499</v>
      </c>
      <c r="D102" s="85">
        <v>5</v>
      </c>
      <c r="E102" s="85" t="s">
        <v>509</v>
      </c>
      <c r="F102" s="85" t="s">
        <v>510</v>
      </c>
      <c r="G102" s="85" t="s">
        <v>323</v>
      </c>
      <c r="H102" s="85" t="s">
        <v>511</v>
      </c>
      <c r="I102" s="85" t="s">
        <v>102</v>
      </c>
    </row>
    <row r="103" spans="1:9" ht="13">
      <c r="A103" s="85">
        <v>2</v>
      </c>
      <c r="B103" s="85">
        <v>5</v>
      </c>
      <c r="C103" s="85" t="s">
        <v>499</v>
      </c>
      <c r="D103" s="85">
        <v>6</v>
      </c>
      <c r="E103" s="85" t="s">
        <v>512</v>
      </c>
      <c r="F103" s="85" t="s">
        <v>513</v>
      </c>
      <c r="G103" s="85" t="s">
        <v>323</v>
      </c>
      <c r="H103" s="85" t="s">
        <v>511</v>
      </c>
      <c r="I103" s="85" t="s">
        <v>102</v>
      </c>
    </row>
    <row r="104" spans="1:9" ht="13">
      <c r="A104" s="85">
        <v>2</v>
      </c>
      <c r="B104" s="85">
        <v>5</v>
      </c>
      <c r="C104" s="85" t="s">
        <v>514</v>
      </c>
      <c r="D104" s="85">
        <v>1</v>
      </c>
      <c r="E104" s="85" t="s">
        <v>515</v>
      </c>
      <c r="F104" s="85" t="s">
        <v>516</v>
      </c>
      <c r="G104" s="85" t="s">
        <v>323</v>
      </c>
      <c r="H104" s="85" t="s">
        <v>240</v>
      </c>
      <c r="I104" s="85" t="s">
        <v>102</v>
      </c>
    </row>
    <row r="105" spans="1:9" ht="13">
      <c r="A105" s="85">
        <v>2</v>
      </c>
      <c r="B105" s="85">
        <v>5</v>
      </c>
      <c r="C105" s="85" t="s">
        <v>514</v>
      </c>
      <c r="D105" s="85">
        <v>2</v>
      </c>
      <c r="E105" s="85" t="s">
        <v>517</v>
      </c>
      <c r="F105" s="85" t="s">
        <v>518</v>
      </c>
      <c r="G105" s="85" t="s">
        <v>323</v>
      </c>
      <c r="H105" s="85" t="s">
        <v>240</v>
      </c>
      <c r="I105" s="85" t="s">
        <v>102</v>
      </c>
    </row>
    <row r="106" spans="1:9" ht="13">
      <c r="A106" s="85">
        <v>2</v>
      </c>
      <c r="B106" s="85">
        <v>5</v>
      </c>
      <c r="C106" s="85" t="s">
        <v>514</v>
      </c>
      <c r="D106" s="85">
        <v>3</v>
      </c>
      <c r="E106" s="85" t="s">
        <v>519</v>
      </c>
      <c r="F106" s="85" t="s">
        <v>520</v>
      </c>
      <c r="G106" s="85" t="s">
        <v>323</v>
      </c>
      <c r="H106" s="85" t="s">
        <v>240</v>
      </c>
      <c r="I106" s="85" t="s">
        <v>102</v>
      </c>
    </row>
    <row r="107" spans="1:9" ht="13">
      <c r="A107" s="85">
        <v>2</v>
      </c>
      <c r="B107" s="85">
        <v>5</v>
      </c>
      <c r="C107" s="85" t="s">
        <v>514</v>
      </c>
      <c r="D107" s="85">
        <v>4</v>
      </c>
      <c r="E107" s="85" t="s">
        <v>521</v>
      </c>
      <c r="F107" s="85" t="s">
        <v>522</v>
      </c>
      <c r="G107" s="85" t="s">
        <v>323</v>
      </c>
      <c r="H107" s="85" t="s">
        <v>169</v>
      </c>
      <c r="I107" s="85" t="s">
        <v>102</v>
      </c>
    </row>
    <row r="108" spans="1:9" ht="13">
      <c r="A108" s="85">
        <v>2</v>
      </c>
      <c r="B108" s="85">
        <v>5</v>
      </c>
      <c r="C108" s="85" t="s">
        <v>514</v>
      </c>
      <c r="D108" s="85">
        <v>5</v>
      </c>
      <c r="E108" s="85" t="s">
        <v>523</v>
      </c>
      <c r="F108" s="85" t="s">
        <v>524</v>
      </c>
      <c r="G108" s="85" t="s">
        <v>323</v>
      </c>
      <c r="H108" s="85" t="s">
        <v>169</v>
      </c>
      <c r="I108" s="85" t="s">
        <v>102</v>
      </c>
    </row>
    <row r="109" spans="1:9" ht="13">
      <c r="A109" s="85">
        <v>2</v>
      </c>
      <c r="B109" s="85">
        <v>5</v>
      </c>
      <c r="C109" s="85" t="s">
        <v>514</v>
      </c>
      <c r="D109" s="85">
        <v>6</v>
      </c>
      <c r="E109" s="85" t="s">
        <v>525</v>
      </c>
      <c r="F109" s="85" t="s">
        <v>526</v>
      </c>
      <c r="G109" s="85" t="s">
        <v>323</v>
      </c>
      <c r="H109" s="85" t="s">
        <v>169</v>
      </c>
      <c r="I109" s="85" t="s">
        <v>102</v>
      </c>
    </row>
    <row r="110" spans="1:9" ht="13">
      <c r="A110" s="85">
        <v>2</v>
      </c>
      <c r="B110" s="85">
        <v>6</v>
      </c>
      <c r="C110" s="85" t="s">
        <v>527</v>
      </c>
      <c r="D110" s="85">
        <v>1</v>
      </c>
      <c r="E110" s="85" t="s">
        <v>528</v>
      </c>
      <c r="F110" s="85" t="s">
        <v>529</v>
      </c>
      <c r="G110" s="85" t="s">
        <v>530</v>
      </c>
      <c r="H110" s="85" t="s">
        <v>454</v>
      </c>
      <c r="I110" s="85" t="s">
        <v>63</v>
      </c>
    </row>
    <row r="111" spans="1:9" ht="13">
      <c r="A111" s="85">
        <v>2</v>
      </c>
      <c r="B111" s="85">
        <v>6</v>
      </c>
      <c r="C111" s="85" t="s">
        <v>527</v>
      </c>
      <c r="D111" s="85">
        <v>2</v>
      </c>
      <c r="E111" s="85" t="s">
        <v>531</v>
      </c>
      <c r="F111" s="85" t="s">
        <v>532</v>
      </c>
      <c r="G111" s="85" t="s">
        <v>530</v>
      </c>
      <c r="H111" s="85" t="s">
        <v>454</v>
      </c>
      <c r="I111" s="85" t="s">
        <v>63</v>
      </c>
    </row>
    <row r="112" spans="1:9" ht="13">
      <c r="A112" s="85">
        <v>2</v>
      </c>
      <c r="B112" s="85">
        <v>6</v>
      </c>
      <c r="C112" s="85" t="s">
        <v>527</v>
      </c>
      <c r="D112" s="85">
        <v>3</v>
      </c>
      <c r="E112" s="85" t="s">
        <v>533</v>
      </c>
      <c r="F112" s="85" t="s">
        <v>534</v>
      </c>
      <c r="G112" s="85" t="s">
        <v>530</v>
      </c>
      <c r="H112" s="85" t="s">
        <v>454</v>
      </c>
      <c r="I112" s="85" t="s">
        <v>63</v>
      </c>
    </row>
    <row r="113" spans="1:9" ht="13">
      <c r="A113" s="85">
        <v>2</v>
      </c>
      <c r="B113" s="85">
        <v>6</v>
      </c>
      <c r="C113" s="85" t="s">
        <v>527</v>
      </c>
      <c r="D113" s="85">
        <v>4</v>
      </c>
      <c r="E113" s="85" t="s">
        <v>535</v>
      </c>
      <c r="F113" s="85" t="s">
        <v>536</v>
      </c>
      <c r="G113" s="85" t="s">
        <v>530</v>
      </c>
      <c r="H113" s="85" t="s">
        <v>537</v>
      </c>
      <c r="I113" s="85" t="s">
        <v>63</v>
      </c>
    </row>
    <row r="114" spans="1:9" ht="13">
      <c r="A114" s="85">
        <v>2</v>
      </c>
      <c r="B114" s="85">
        <v>6</v>
      </c>
      <c r="C114" s="85" t="s">
        <v>527</v>
      </c>
      <c r="D114" s="85">
        <v>5</v>
      </c>
      <c r="E114" s="85" t="s">
        <v>538</v>
      </c>
      <c r="F114" s="85" t="s">
        <v>539</v>
      </c>
      <c r="G114" s="85" t="s">
        <v>530</v>
      </c>
      <c r="H114" s="85" t="s">
        <v>454</v>
      </c>
      <c r="I114" s="85" t="s">
        <v>63</v>
      </c>
    </row>
    <row r="115" spans="1:9" ht="13">
      <c r="A115" s="85">
        <v>2</v>
      </c>
      <c r="B115" s="85">
        <v>6</v>
      </c>
      <c r="C115" s="85" t="s">
        <v>527</v>
      </c>
      <c r="D115" s="85">
        <v>6</v>
      </c>
      <c r="E115" s="85" t="s">
        <v>540</v>
      </c>
      <c r="F115" s="85" t="s">
        <v>541</v>
      </c>
      <c r="G115" s="85" t="s">
        <v>530</v>
      </c>
      <c r="H115" s="85" t="s">
        <v>457</v>
      </c>
      <c r="I115" s="85" t="s">
        <v>63</v>
      </c>
    </row>
    <row r="116" spans="1:9" ht="13">
      <c r="A116" s="85">
        <v>2</v>
      </c>
      <c r="B116" s="85">
        <v>6</v>
      </c>
      <c r="C116" s="85" t="s">
        <v>542</v>
      </c>
      <c r="D116" s="85">
        <v>1</v>
      </c>
      <c r="E116" s="85" t="s">
        <v>543</v>
      </c>
      <c r="F116" s="85" t="s">
        <v>544</v>
      </c>
      <c r="G116" s="85" t="s">
        <v>279</v>
      </c>
      <c r="H116" s="85" t="s">
        <v>101</v>
      </c>
      <c r="I116" s="85" t="s">
        <v>56</v>
      </c>
    </row>
    <row r="117" spans="1:9" ht="13">
      <c r="A117" s="85">
        <v>2</v>
      </c>
      <c r="B117" s="85">
        <v>6</v>
      </c>
      <c r="C117" s="85" t="s">
        <v>542</v>
      </c>
      <c r="D117" s="85">
        <v>2</v>
      </c>
      <c r="E117" s="85" t="s">
        <v>545</v>
      </c>
      <c r="F117" s="85" t="s">
        <v>546</v>
      </c>
      <c r="G117" s="85" t="s">
        <v>279</v>
      </c>
      <c r="H117" s="85" t="s">
        <v>101</v>
      </c>
      <c r="I117" s="85" t="s">
        <v>56</v>
      </c>
    </row>
    <row r="118" spans="1:9" ht="13">
      <c r="A118" s="85">
        <v>2</v>
      </c>
      <c r="B118" s="85">
        <v>6</v>
      </c>
      <c r="C118" s="85" t="s">
        <v>542</v>
      </c>
      <c r="D118" s="85">
        <v>3</v>
      </c>
      <c r="E118" s="85" t="s">
        <v>547</v>
      </c>
      <c r="F118" s="85" t="s">
        <v>548</v>
      </c>
      <c r="G118" s="85" t="s">
        <v>279</v>
      </c>
      <c r="H118" s="85" t="s">
        <v>101</v>
      </c>
      <c r="I118" s="85" t="s">
        <v>56</v>
      </c>
    </row>
    <row r="119" spans="1:9" ht="13">
      <c r="A119" s="85">
        <v>2</v>
      </c>
      <c r="B119" s="85">
        <v>6</v>
      </c>
      <c r="C119" s="85" t="s">
        <v>542</v>
      </c>
      <c r="D119" s="85">
        <v>4</v>
      </c>
      <c r="E119" s="85" t="s">
        <v>549</v>
      </c>
      <c r="F119" s="85" t="s">
        <v>550</v>
      </c>
      <c r="G119" s="85" t="s">
        <v>279</v>
      </c>
      <c r="H119" s="85" t="s">
        <v>101</v>
      </c>
      <c r="I119" s="85" t="s">
        <v>56</v>
      </c>
    </row>
    <row r="120" spans="1:9" ht="13">
      <c r="A120" s="85">
        <v>2</v>
      </c>
      <c r="B120" s="85">
        <v>6</v>
      </c>
      <c r="C120" s="85" t="s">
        <v>542</v>
      </c>
      <c r="D120" s="85">
        <v>5</v>
      </c>
      <c r="E120" s="85" t="s">
        <v>551</v>
      </c>
      <c r="F120" s="85" t="s">
        <v>552</v>
      </c>
      <c r="G120" s="85" t="s">
        <v>279</v>
      </c>
      <c r="H120" s="85" t="s">
        <v>109</v>
      </c>
      <c r="I120" s="85" t="s">
        <v>56</v>
      </c>
    </row>
    <row r="121" spans="1:9" ht="13">
      <c r="A121" s="85">
        <v>2</v>
      </c>
      <c r="B121" s="85">
        <v>6</v>
      </c>
      <c r="C121" s="85" t="s">
        <v>542</v>
      </c>
      <c r="D121" s="85">
        <v>6</v>
      </c>
      <c r="E121" s="85" t="s">
        <v>553</v>
      </c>
      <c r="F121" s="85" t="s">
        <v>554</v>
      </c>
      <c r="G121" s="85" t="s">
        <v>279</v>
      </c>
      <c r="H121" s="85" t="s">
        <v>109</v>
      </c>
      <c r="I121" s="85" t="s">
        <v>56</v>
      </c>
    </row>
    <row r="122" spans="1:9" ht="13">
      <c r="A122" s="85">
        <v>2</v>
      </c>
      <c r="B122" s="85">
        <v>6</v>
      </c>
      <c r="C122" s="85" t="s">
        <v>555</v>
      </c>
      <c r="D122" s="85">
        <v>1</v>
      </c>
      <c r="E122" s="85" t="s">
        <v>556</v>
      </c>
      <c r="F122" s="85" t="s">
        <v>557</v>
      </c>
      <c r="G122" s="85" t="s">
        <v>370</v>
      </c>
      <c r="H122" s="85" t="s">
        <v>558</v>
      </c>
      <c r="I122" s="85" t="s">
        <v>64</v>
      </c>
    </row>
    <row r="123" spans="1:9" ht="13">
      <c r="A123" s="85">
        <v>2</v>
      </c>
      <c r="B123" s="85">
        <v>6</v>
      </c>
      <c r="C123" s="85" t="s">
        <v>555</v>
      </c>
      <c r="D123" s="85">
        <v>2</v>
      </c>
      <c r="E123" s="85" t="s">
        <v>559</v>
      </c>
      <c r="F123" s="85" t="s">
        <v>560</v>
      </c>
      <c r="G123" s="85" t="s">
        <v>370</v>
      </c>
      <c r="H123" s="85" t="s">
        <v>198</v>
      </c>
      <c r="I123" s="85" t="s">
        <v>64</v>
      </c>
    </row>
    <row r="124" spans="1:9" ht="13">
      <c r="A124" s="85">
        <v>2</v>
      </c>
      <c r="B124" s="85">
        <v>6</v>
      </c>
      <c r="C124" s="85" t="s">
        <v>555</v>
      </c>
      <c r="D124" s="85">
        <v>3</v>
      </c>
      <c r="E124" s="85" t="s">
        <v>561</v>
      </c>
      <c r="F124" s="85" t="s">
        <v>562</v>
      </c>
      <c r="G124" s="85" t="s">
        <v>370</v>
      </c>
      <c r="H124" s="85" t="s">
        <v>563</v>
      </c>
      <c r="I124" s="85" t="s">
        <v>64</v>
      </c>
    </row>
    <row r="125" spans="1:9" ht="13">
      <c r="A125" s="85">
        <v>2</v>
      </c>
      <c r="B125" s="85">
        <v>6</v>
      </c>
      <c r="C125" s="85" t="s">
        <v>555</v>
      </c>
      <c r="D125" s="85">
        <v>4</v>
      </c>
      <c r="E125" s="85" t="s">
        <v>564</v>
      </c>
      <c r="F125" s="85" t="s">
        <v>565</v>
      </c>
      <c r="G125" s="85" t="s">
        <v>370</v>
      </c>
      <c r="H125" s="85" t="s">
        <v>109</v>
      </c>
      <c r="I125" s="85" t="s">
        <v>64</v>
      </c>
    </row>
    <row r="126" spans="1:9" ht="13">
      <c r="A126" s="85">
        <v>2</v>
      </c>
      <c r="B126" s="85">
        <v>6</v>
      </c>
      <c r="C126" s="85" t="s">
        <v>555</v>
      </c>
      <c r="D126" s="85">
        <v>5</v>
      </c>
      <c r="E126" s="85" t="s">
        <v>566</v>
      </c>
      <c r="F126" s="85" t="s">
        <v>567</v>
      </c>
      <c r="G126" s="85" t="s">
        <v>370</v>
      </c>
      <c r="H126" s="85" t="s">
        <v>568</v>
      </c>
      <c r="I126" s="85" t="s">
        <v>64</v>
      </c>
    </row>
    <row r="127" spans="1:9" ht="13">
      <c r="A127" s="85">
        <v>2</v>
      </c>
      <c r="B127" s="85">
        <v>6</v>
      </c>
      <c r="C127" s="85" t="s">
        <v>555</v>
      </c>
      <c r="D127" s="85">
        <v>6</v>
      </c>
      <c r="E127" s="85" t="s">
        <v>569</v>
      </c>
      <c r="F127" s="85" t="s">
        <v>570</v>
      </c>
      <c r="G127" s="85" t="s">
        <v>370</v>
      </c>
      <c r="H127" s="85" t="s">
        <v>571</v>
      </c>
      <c r="I127" s="85" t="s">
        <v>64</v>
      </c>
    </row>
    <row r="128" spans="1:9" ht="13">
      <c r="A128" s="85">
        <v>2</v>
      </c>
      <c r="B128" s="85">
        <v>6</v>
      </c>
      <c r="C128" s="85" t="s">
        <v>572</v>
      </c>
      <c r="D128" s="85">
        <v>1</v>
      </c>
      <c r="E128" s="85" t="s">
        <v>573</v>
      </c>
      <c r="F128" s="85" t="s">
        <v>574</v>
      </c>
      <c r="G128" s="85">
        <v>2.6</v>
      </c>
      <c r="H128" s="85" t="s">
        <v>10</v>
      </c>
      <c r="I128" s="85" t="s">
        <v>102</v>
      </c>
    </row>
    <row r="129" spans="1:9" ht="13">
      <c r="A129" s="85">
        <v>2</v>
      </c>
      <c r="B129" s="85">
        <v>6</v>
      </c>
      <c r="C129" s="85" t="s">
        <v>572</v>
      </c>
      <c r="D129" s="85">
        <v>2</v>
      </c>
      <c r="E129" s="85" t="s">
        <v>575</v>
      </c>
      <c r="F129" s="85" t="s">
        <v>576</v>
      </c>
      <c r="G129" s="85">
        <v>2.6</v>
      </c>
      <c r="H129" s="85" t="s">
        <v>10</v>
      </c>
      <c r="I129" s="85" t="s">
        <v>102</v>
      </c>
    </row>
    <row r="130" spans="1:9" ht="13">
      <c r="A130" s="85">
        <v>2</v>
      </c>
      <c r="B130" s="85">
        <v>6</v>
      </c>
      <c r="C130" s="85" t="s">
        <v>572</v>
      </c>
      <c r="D130" s="85">
        <v>3</v>
      </c>
      <c r="E130" s="85" t="s">
        <v>577</v>
      </c>
      <c r="F130" s="85" t="s">
        <v>578</v>
      </c>
      <c r="G130" s="85">
        <v>2.6</v>
      </c>
      <c r="H130" s="85" t="s">
        <v>579</v>
      </c>
      <c r="I130" s="85" t="s">
        <v>102</v>
      </c>
    </row>
    <row r="131" spans="1:9" ht="13">
      <c r="A131" s="85">
        <v>2</v>
      </c>
      <c r="B131" s="85">
        <v>6</v>
      </c>
      <c r="C131" s="85" t="s">
        <v>572</v>
      </c>
      <c r="D131" s="85">
        <v>4</v>
      </c>
      <c r="E131" s="85" t="s">
        <v>580</v>
      </c>
      <c r="F131" s="85" t="s">
        <v>581</v>
      </c>
      <c r="G131" s="85">
        <v>2.6</v>
      </c>
      <c r="H131" s="85" t="s">
        <v>579</v>
      </c>
      <c r="I131" s="85" t="s">
        <v>102</v>
      </c>
    </row>
    <row r="132" spans="1:9" ht="13">
      <c r="A132" s="85">
        <v>2</v>
      </c>
      <c r="B132" s="85">
        <v>6</v>
      </c>
      <c r="C132" s="85" t="s">
        <v>572</v>
      </c>
      <c r="D132" s="85">
        <v>5</v>
      </c>
      <c r="E132" s="85" t="s">
        <v>582</v>
      </c>
      <c r="F132" s="85" t="s">
        <v>583</v>
      </c>
      <c r="G132" s="85">
        <v>2.6</v>
      </c>
      <c r="H132" s="85" t="s">
        <v>223</v>
      </c>
      <c r="I132" s="85" t="s">
        <v>102</v>
      </c>
    </row>
    <row r="133" spans="1:9" ht="13">
      <c r="A133" s="85">
        <v>2</v>
      </c>
      <c r="B133" s="85">
        <v>6</v>
      </c>
      <c r="C133" s="85" t="s">
        <v>572</v>
      </c>
      <c r="D133" s="85">
        <v>6</v>
      </c>
      <c r="E133" s="85" t="s">
        <v>584</v>
      </c>
      <c r="F133" s="85" t="s">
        <v>585</v>
      </c>
      <c r="G133" s="85">
        <v>2.6</v>
      </c>
      <c r="H133" s="85" t="s">
        <v>461</v>
      </c>
      <c r="I133" s="85" t="s">
        <v>102</v>
      </c>
    </row>
    <row r="134" spans="1:9" ht="13">
      <c r="A134" s="85">
        <v>2</v>
      </c>
      <c r="B134" s="85">
        <v>6</v>
      </c>
      <c r="C134" s="85" t="s">
        <v>586</v>
      </c>
      <c r="D134" s="85">
        <v>1</v>
      </c>
      <c r="E134" s="85" t="s">
        <v>587</v>
      </c>
      <c r="F134" s="85" t="s">
        <v>588</v>
      </c>
      <c r="G134" s="85" t="s">
        <v>323</v>
      </c>
      <c r="H134" s="85" t="s">
        <v>20</v>
      </c>
      <c r="I134" s="85" t="s">
        <v>102</v>
      </c>
    </row>
    <row r="135" spans="1:9" ht="13">
      <c r="A135" s="85">
        <v>2</v>
      </c>
      <c r="B135" s="85">
        <v>6</v>
      </c>
      <c r="C135" s="85" t="s">
        <v>586</v>
      </c>
      <c r="D135" s="85">
        <v>2</v>
      </c>
      <c r="E135" s="85" t="s">
        <v>589</v>
      </c>
      <c r="F135" s="85" t="s">
        <v>590</v>
      </c>
      <c r="G135" s="85" t="s">
        <v>323</v>
      </c>
      <c r="H135" s="85" t="s">
        <v>20</v>
      </c>
      <c r="I135" s="85" t="s">
        <v>102</v>
      </c>
    </row>
    <row r="136" spans="1:9" ht="13">
      <c r="A136" s="85">
        <v>2</v>
      </c>
      <c r="B136" s="85">
        <v>6</v>
      </c>
      <c r="C136" s="85" t="s">
        <v>586</v>
      </c>
      <c r="D136" s="85">
        <v>3</v>
      </c>
      <c r="E136" s="85" t="s">
        <v>591</v>
      </c>
      <c r="F136" s="85" t="s">
        <v>592</v>
      </c>
      <c r="G136" s="85" t="s">
        <v>323</v>
      </c>
      <c r="H136" s="85" t="s">
        <v>169</v>
      </c>
      <c r="I136" s="85" t="s">
        <v>102</v>
      </c>
    </row>
    <row r="137" spans="1:9" ht="13">
      <c r="A137" s="85">
        <v>2</v>
      </c>
      <c r="B137" s="85">
        <v>6</v>
      </c>
      <c r="C137" s="85" t="s">
        <v>586</v>
      </c>
      <c r="D137" s="85">
        <v>4</v>
      </c>
      <c r="E137" s="85" t="s">
        <v>593</v>
      </c>
      <c r="F137" s="85" t="s">
        <v>594</v>
      </c>
      <c r="G137" s="85" t="s">
        <v>323</v>
      </c>
      <c r="H137" s="85" t="s">
        <v>169</v>
      </c>
      <c r="I137" s="85" t="s">
        <v>102</v>
      </c>
    </row>
    <row r="138" spans="1:9" ht="13">
      <c r="A138" s="85">
        <v>2</v>
      </c>
      <c r="B138" s="85">
        <v>6</v>
      </c>
      <c r="C138" s="85" t="s">
        <v>586</v>
      </c>
      <c r="D138" s="85">
        <v>5</v>
      </c>
      <c r="E138" s="85" t="s">
        <v>595</v>
      </c>
      <c r="F138" s="85" t="s">
        <v>596</v>
      </c>
      <c r="G138" s="85" t="s">
        <v>323</v>
      </c>
      <c r="H138" s="85" t="s">
        <v>169</v>
      </c>
      <c r="I138" s="85" t="s">
        <v>102</v>
      </c>
    </row>
    <row r="139" spans="1:9" ht="13">
      <c r="A139" s="85">
        <v>2</v>
      </c>
      <c r="B139" s="85">
        <v>6</v>
      </c>
      <c r="C139" s="85" t="s">
        <v>586</v>
      </c>
      <c r="D139" s="85">
        <v>6</v>
      </c>
      <c r="E139" s="85" t="s">
        <v>597</v>
      </c>
      <c r="F139" s="85" t="s">
        <v>598</v>
      </c>
      <c r="G139" s="85" t="s">
        <v>323</v>
      </c>
      <c r="H139" s="85" t="s">
        <v>169</v>
      </c>
      <c r="I139" s="85" t="s">
        <v>102</v>
      </c>
    </row>
    <row r="140" spans="1:9" ht="13">
      <c r="A140" s="85">
        <v>2</v>
      </c>
      <c r="B140" s="85">
        <v>6</v>
      </c>
      <c r="C140" s="85" t="s">
        <v>599</v>
      </c>
      <c r="D140" s="85">
        <v>1</v>
      </c>
      <c r="E140" s="85" t="s">
        <v>600</v>
      </c>
      <c r="F140" s="85" t="s">
        <v>601</v>
      </c>
      <c r="G140" s="85" t="s">
        <v>323</v>
      </c>
      <c r="H140" s="85" t="s">
        <v>502</v>
      </c>
      <c r="I140" s="85" t="s">
        <v>102</v>
      </c>
    </row>
    <row r="141" spans="1:9" ht="13">
      <c r="A141" s="85">
        <v>2</v>
      </c>
      <c r="B141" s="85">
        <v>6</v>
      </c>
      <c r="C141" s="85" t="s">
        <v>599</v>
      </c>
      <c r="D141" s="85">
        <v>2</v>
      </c>
      <c r="E141" s="85" t="s">
        <v>602</v>
      </c>
      <c r="F141" s="85" t="s">
        <v>603</v>
      </c>
      <c r="G141" s="85" t="s">
        <v>323</v>
      </c>
      <c r="H141" s="85" t="s">
        <v>502</v>
      </c>
      <c r="I141" s="85" t="s">
        <v>102</v>
      </c>
    </row>
    <row r="142" spans="1:9" ht="13">
      <c r="A142" s="85">
        <v>2</v>
      </c>
      <c r="B142" s="85">
        <v>6</v>
      </c>
      <c r="C142" s="85" t="s">
        <v>599</v>
      </c>
      <c r="D142" s="85">
        <v>3</v>
      </c>
      <c r="E142" s="85" t="s">
        <v>604</v>
      </c>
      <c r="F142" s="85" t="s">
        <v>605</v>
      </c>
      <c r="G142" s="85" t="s">
        <v>323</v>
      </c>
      <c r="H142" s="85" t="s">
        <v>502</v>
      </c>
      <c r="I142" s="85" t="s">
        <v>102</v>
      </c>
    </row>
    <row r="143" spans="1:9" ht="13">
      <c r="A143" s="85">
        <v>2</v>
      </c>
      <c r="B143" s="85">
        <v>6</v>
      </c>
      <c r="C143" s="85" t="s">
        <v>599</v>
      </c>
      <c r="D143" s="85">
        <v>4</v>
      </c>
      <c r="E143" s="85" t="s">
        <v>606</v>
      </c>
      <c r="F143" s="85" t="s">
        <v>607</v>
      </c>
      <c r="G143" s="85" t="s">
        <v>323</v>
      </c>
      <c r="H143" s="85" t="s">
        <v>502</v>
      </c>
      <c r="I143" s="85" t="s">
        <v>102</v>
      </c>
    </row>
    <row r="144" spans="1:9" ht="13">
      <c r="A144" s="85">
        <v>2</v>
      </c>
      <c r="B144" s="85">
        <v>6</v>
      </c>
      <c r="C144" s="85" t="s">
        <v>599</v>
      </c>
      <c r="D144" s="85">
        <v>5</v>
      </c>
      <c r="E144" s="85" t="s">
        <v>608</v>
      </c>
      <c r="F144" s="85" t="s">
        <v>609</v>
      </c>
      <c r="G144" s="85" t="s">
        <v>323</v>
      </c>
      <c r="H144" s="85" t="s">
        <v>511</v>
      </c>
      <c r="I144" s="85" t="s">
        <v>102</v>
      </c>
    </row>
    <row r="145" spans="1:9" ht="13">
      <c r="A145" s="85">
        <v>2</v>
      </c>
      <c r="B145" s="85">
        <v>6</v>
      </c>
      <c r="C145" s="85" t="s">
        <v>599</v>
      </c>
      <c r="D145" s="85">
        <v>6</v>
      </c>
      <c r="E145" s="85" t="s">
        <v>610</v>
      </c>
      <c r="F145" s="85" t="s">
        <v>611</v>
      </c>
      <c r="G145" s="85" t="s">
        <v>323</v>
      </c>
      <c r="H145" s="85" t="s">
        <v>511</v>
      </c>
      <c r="I145" s="85"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I292"/>
  <sheetViews>
    <sheetView workbookViewId="0"/>
  </sheetViews>
  <sheetFormatPr baseColWidth="10" defaultColWidth="12.6640625" defaultRowHeight="15.75" customHeight="1"/>
  <cols>
    <col min="3" max="3" width="66.6640625" customWidth="1"/>
  </cols>
  <sheetData>
    <row r="1" spans="1:9" ht="15.75" customHeight="1">
      <c r="A1" s="85" t="s">
        <v>75</v>
      </c>
      <c r="B1" s="85" t="s">
        <v>76</v>
      </c>
      <c r="C1" s="85" t="s">
        <v>77</v>
      </c>
      <c r="D1" s="85" t="s">
        <v>78</v>
      </c>
      <c r="E1" s="85"/>
      <c r="F1" s="85" t="s">
        <v>80</v>
      </c>
      <c r="G1" s="85" t="s">
        <v>80</v>
      </c>
      <c r="H1" s="85" t="s">
        <v>80</v>
      </c>
      <c r="I1" s="85" t="s">
        <v>80</v>
      </c>
    </row>
    <row r="2" spans="1:9" ht="15.75" customHeight="1">
      <c r="A2" s="85">
        <v>3</v>
      </c>
      <c r="B2" s="85">
        <v>7</v>
      </c>
      <c r="C2" s="85" t="s">
        <v>612</v>
      </c>
      <c r="D2" s="85">
        <v>1</v>
      </c>
      <c r="E2" s="85" t="str">
        <f t="shared" ref="E2:E256" si="0">B2&amp;"::"&amp;C2&amp;"::"&amp;D2&amp;"::"&amp;F2</f>
        <v>7::Impact of technology – Collaborating online respectfully::1::- Create a memorable and secure password for an account on the school network</v>
      </c>
      <c r="F2" s="85" t="s">
        <v>613</v>
      </c>
      <c r="G2" s="85" t="s">
        <v>614</v>
      </c>
      <c r="H2" s="85" t="s">
        <v>615</v>
      </c>
      <c r="I2" s="85" t="s">
        <v>65</v>
      </c>
    </row>
    <row r="3" spans="1:9" ht="15.75" customHeight="1">
      <c r="A3" s="85">
        <v>3</v>
      </c>
      <c r="B3" s="85">
        <v>7</v>
      </c>
      <c r="C3" s="85" t="s">
        <v>612</v>
      </c>
      <c r="D3" s="85">
        <v>1</v>
      </c>
      <c r="E3" s="85" t="str">
        <f t="shared" si="0"/>
        <v>7::Impact of technology – Collaborating online respectfully::1::- Remember the rules of the computing lab</v>
      </c>
      <c r="F3" s="85" t="s">
        <v>616</v>
      </c>
      <c r="G3" s="85" t="s">
        <v>614</v>
      </c>
      <c r="H3" s="85" t="s">
        <v>25</v>
      </c>
      <c r="I3" s="85" t="s">
        <v>65</v>
      </c>
    </row>
    <row r="4" spans="1:9" ht="15.75" customHeight="1">
      <c r="A4" s="85">
        <v>3</v>
      </c>
      <c r="B4" s="85">
        <v>7</v>
      </c>
      <c r="C4" s="85" t="s">
        <v>612</v>
      </c>
      <c r="D4" s="85">
        <v>2</v>
      </c>
      <c r="E4" s="85" t="str">
        <f t="shared" si="0"/>
        <v>7::Impact of technology – Collaborating online respectfully::2::- Find personal documents and common applications</v>
      </c>
      <c r="F4" s="85" t="s">
        <v>617</v>
      </c>
      <c r="G4" s="85" t="s">
        <v>614</v>
      </c>
      <c r="H4" s="85" t="s">
        <v>22</v>
      </c>
      <c r="I4" s="85" t="s">
        <v>65</v>
      </c>
    </row>
    <row r="5" spans="1:9" ht="15.75" customHeight="1">
      <c r="A5" s="85">
        <v>3</v>
      </c>
      <c r="B5" s="85">
        <v>7</v>
      </c>
      <c r="C5" s="85" t="s">
        <v>612</v>
      </c>
      <c r="D5" s="85">
        <v>2</v>
      </c>
      <c r="E5" s="85" t="str">
        <f t="shared" si="0"/>
        <v>7::Impact of technology – Collaborating online respectfully::2::- Recognise a respectful email</v>
      </c>
      <c r="F5" s="85" t="s">
        <v>618</v>
      </c>
      <c r="G5" s="85" t="s">
        <v>614</v>
      </c>
      <c r="H5" s="85" t="s">
        <v>615</v>
      </c>
      <c r="I5" s="85" t="s">
        <v>65</v>
      </c>
    </row>
    <row r="6" spans="1:9" ht="15.75" customHeight="1">
      <c r="A6" s="85">
        <v>3</v>
      </c>
      <c r="B6" s="85">
        <v>7</v>
      </c>
      <c r="C6" s="85" t="s">
        <v>612</v>
      </c>
      <c r="D6" s="85">
        <v>2</v>
      </c>
      <c r="E6" s="85" t="str">
        <f t="shared" si="0"/>
        <v>7::Impact of technology – Collaborating online respectfully::2::- Construct an effective email and send it to the correct recipients</v>
      </c>
      <c r="F6" s="85" t="s">
        <v>619</v>
      </c>
      <c r="G6" s="85" t="s">
        <v>614</v>
      </c>
      <c r="H6" s="85" t="s">
        <v>22</v>
      </c>
      <c r="I6" s="85" t="s">
        <v>65</v>
      </c>
    </row>
    <row r="7" spans="1:9" ht="15.75" customHeight="1">
      <c r="A7" s="85">
        <v>3</v>
      </c>
      <c r="B7" s="85">
        <v>7</v>
      </c>
      <c r="C7" s="85" t="s">
        <v>612</v>
      </c>
      <c r="D7" s="85">
        <v>3</v>
      </c>
      <c r="E7" s="85" t="str">
        <f t="shared" si="0"/>
        <v>7::Impact of technology – Collaborating online respectfully::3::- Describe how to communicate with peers online</v>
      </c>
      <c r="F7" s="85" t="s">
        <v>620</v>
      </c>
      <c r="G7" s="85" t="s">
        <v>614</v>
      </c>
      <c r="H7" s="85" t="s">
        <v>615</v>
      </c>
      <c r="I7" s="85" t="s">
        <v>65</v>
      </c>
    </row>
    <row r="8" spans="1:9" ht="15.75" customHeight="1">
      <c r="A8" s="85">
        <v>3</v>
      </c>
      <c r="B8" s="85">
        <v>7</v>
      </c>
      <c r="C8" s="85" t="s">
        <v>612</v>
      </c>
      <c r="D8" s="85">
        <v>4</v>
      </c>
      <c r="E8" s="85" t="str">
        <f t="shared" si="0"/>
        <v>7::Impact of technology – Collaborating online respectfully::4::- Plan effective presentations for a given audience</v>
      </c>
      <c r="F8" s="85" t="s">
        <v>621</v>
      </c>
      <c r="G8" s="85" t="s">
        <v>614</v>
      </c>
      <c r="H8" s="85" t="s">
        <v>109</v>
      </c>
      <c r="I8" s="85" t="s">
        <v>65</v>
      </c>
    </row>
    <row r="9" spans="1:9" ht="15.75" customHeight="1">
      <c r="A9" s="85">
        <v>3</v>
      </c>
      <c r="B9" s="85">
        <v>7</v>
      </c>
      <c r="C9" s="85" t="s">
        <v>612</v>
      </c>
      <c r="D9" s="85">
        <v>4</v>
      </c>
      <c r="E9" s="85" t="str">
        <f t="shared" si="0"/>
        <v>7::Impact of technology – Collaborating online respectfully::4::- Describe cyberbullying</v>
      </c>
      <c r="F9" s="85" t="s">
        <v>622</v>
      </c>
      <c r="G9" s="85" t="s">
        <v>614</v>
      </c>
      <c r="H9" s="85" t="s">
        <v>623</v>
      </c>
      <c r="I9" s="85" t="s">
        <v>65</v>
      </c>
    </row>
    <row r="10" spans="1:9" ht="15.75" customHeight="1">
      <c r="A10" s="85">
        <v>3</v>
      </c>
      <c r="B10" s="85">
        <v>7</v>
      </c>
      <c r="C10" s="85" t="s">
        <v>612</v>
      </c>
      <c r="D10" s="85">
        <v>4</v>
      </c>
      <c r="E10" s="85" t="str">
        <f t="shared" si="0"/>
        <v>7::Impact of technology – Collaborating online respectfully::4::- Explain the effects of cyberbullying</v>
      </c>
      <c r="F10" s="85" t="s">
        <v>624</v>
      </c>
      <c r="G10" s="85" t="s">
        <v>614</v>
      </c>
      <c r="H10" s="85" t="s">
        <v>623</v>
      </c>
      <c r="I10" s="85" t="s">
        <v>65</v>
      </c>
    </row>
    <row r="11" spans="1:9" ht="15.75" customHeight="1">
      <c r="A11" s="85">
        <v>3</v>
      </c>
      <c r="B11" s="85">
        <v>7</v>
      </c>
      <c r="C11" s="85" t="s">
        <v>612</v>
      </c>
      <c r="D11" s="85">
        <v>5</v>
      </c>
      <c r="E11" s="85" t="str">
        <f t="shared" si="0"/>
        <v>7::Impact of technology – Collaborating online respectfully::5::- Plan effective presentations for a given audience</v>
      </c>
      <c r="F11" s="85" t="s">
        <v>621</v>
      </c>
      <c r="G11" s="85" t="s">
        <v>614</v>
      </c>
      <c r="H11" s="85" t="s">
        <v>8</v>
      </c>
      <c r="I11" s="85" t="s">
        <v>65</v>
      </c>
    </row>
    <row r="12" spans="1:9" ht="15.75" customHeight="1">
      <c r="A12" s="85">
        <v>3</v>
      </c>
      <c r="B12" s="85">
        <v>7</v>
      </c>
      <c r="C12" s="85" t="s">
        <v>612</v>
      </c>
      <c r="D12" s="85">
        <v>5</v>
      </c>
      <c r="E12" s="85" t="str">
        <f t="shared" si="0"/>
        <v>7::Impact of technology – Collaborating online respectfully::5::- Describe cyberbullying</v>
      </c>
      <c r="F12" s="85" t="s">
        <v>622</v>
      </c>
      <c r="G12" s="85" t="s">
        <v>614</v>
      </c>
      <c r="H12" s="85" t="s">
        <v>25</v>
      </c>
      <c r="I12" s="85" t="s">
        <v>65</v>
      </c>
    </row>
    <row r="13" spans="1:9" ht="15.75" customHeight="1">
      <c r="A13" s="85">
        <v>3</v>
      </c>
      <c r="B13" s="85">
        <v>7</v>
      </c>
      <c r="C13" s="85" t="s">
        <v>612</v>
      </c>
      <c r="D13" s="85">
        <v>5</v>
      </c>
      <c r="E13" s="85" t="str">
        <f t="shared" si="0"/>
        <v>7::Impact of technology – Collaborating online respectfully::5::- Explain the effects of cyberbullying</v>
      </c>
      <c r="F13" s="85" t="s">
        <v>624</v>
      </c>
      <c r="G13" s="85" t="s">
        <v>614</v>
      </c>
      <c r="H13" s="85" t="s">
        <v>25</v>
      </c>
      <c r="I13" s="85" t="s">
        <v>65</v>
      </c>
    </row>
    <row r="14" spans="1:9" ht="15.75" customHeight="1">
      <c r="A14" s="85">
        <v>3</v>
      </c>
      <c r="B14" s="85">
        <v>7</v>
      </c>
      <c r="C14" s="85" t="s">
        <v>612</v>
      </c>
      <c r="D14" s="85">
        <v>6</v>
      </c>
      <c r="E14" s="85" t="str">
        <f t="shared" si="0"/>
        <v>7::Impact of technology – Collaborating online respectfully::6::- Check who you are talking to online</v>
      </c>
      <c r="F14" s="85" t="s">
        <v>625</v>
      </c>
      <c r="G14" s="85" t="s">
        <v>614</v>
      </c>
      <c r="H14" s="85" t="s">
        <v>615</v>
      </c>
      <c r="I14" s="85" t="s">
        <v>65</v>
      </c>
    </row>
    <row r="15" spans="1:9" ht="15.75" customHeight="1">
      <c r="A15" s="85">
        <v>3</v>
      </c>
      <c r="B15" s="85">
        <v>7</v>
      </c>
      <c r="C15" s="85" t="s">
        <v>626</v>
      </c>
      <c r="D15" s="85">
        <v>1</v>
      </c>
      <c r="E15" s="85" t="str">
        <f t="shared" si="0"/>
        <v>7::Modelling data – Spreadsheets::1::- Identify columns, rows, cells, and cell references in spreadsheet software</v>
      </c>
      <c r="F15" s="85" t="s">
        <v>627</v>
      </c>
      <c r="G15" s="85" t="s">
        <v>628</v>
      </c>
      <c r="H15" s="85" t="s">
        <v>223</v>
      </c>
      <c r="I15" s="85" t="s">
        <v>102</v>
      </c>
    </row>
    <row r="16" spans="1:9" ht="15.75" customHeight="1">
      <c r="A16" s="85">
        <v>3</v>
      </c>
      <c r="B16" s="85">
        <v>7</v>
      </c>
      <c r="C16" s="85" t="s">
        <v>626</v>
      </c>
      <c r="D16" s="85">
        <v>1</v>
      </c>
      <c r="E16" s="85" t="str">
        <f t="shared" si="0"/>
        <v>7::Modelling data – Spreadsheets::1::- Use formatting techniques in a spreadsheet</v>
      </c>
      <c r="F16" s="85" t="s">
        <v>629</v>
      </c>
      <c r="G16" s="85" t="s">
        <v>628</v>
      </c>
      <c r="H16" s="85" t="s">
        <v>22</v>
      </c>
      <c r="I16" s="85" t="s">
        <v>102</v>
      </c>
    </row>
    <row r="17" spans="1:9" ht="15.75" customHeight="1">
      <c r="A17" s="85">
        <v>3</v>
      </c>
      <c r="B17" s="85">
        <v>7</v>
      </c>
      <c r="C17" s="85" t="s">
        <v>626</v>
      </c>
      <c r="D17" s="85">
        <v>2</v>
      </c>
      <c r="E17" s="85" t="str">
        <f t="shared" si="0"/>
        <v>7::Modelling data – Spreadsheets::2::- Use basic formulas with cell references to perform calculations in a spreadsheet (+, -, *, /)</v>
      </c>
      <c r="F17" s="85" t="s">
        <v>630</v>
      </c>
      <c r="G17" s="85" t="s">
        <v>628</v>
      </c>
      <c r="H17" s="85" t="s">
        <v>579</v>
      </c>
      <c r="I17" s="85" t="s">
        <v>102</v>
      </c>
    </row>
    <row r="18" spans="1:9" ht="15.75" customHeight="1">
      <c r="A18" s="85">
        <v>3</v>
      </c>
      <c r="B18" s="85">
        <v>7</v>
      </c>
      <c r="C18" s="85" t="s">
        <v>626</v>
      </c>
      <c r="D18" s="85">
        <v>2</v>
      </c>
      <c r="E18" s="85" t="str">
        <f t="shared" si="0"/>
        <v>7::Modelling data – Spreadsheets::2::- Use the autofill tool to replicate cell data</v>
      </c>
      <c r="F18" s="85" t="s">
        <v>631</v>
      </c>
      <c r="G18" s="85" t="s">
        <v>628</v>
      </c>
      <c r="H18" s="85" t="s">
        <v>223</v>
      </c>
      <c r="I18" s="85" t="s">
        <v>102</v>
      </c>
    </row>
    <row r="19" spans="1:9" ht="15.75" customHeight="1">
      <c r="A19" s="85">
        <v>3</v>
      </c>
      <c r="B19" s="85">
        <v>7</v>
      </c>
      <c r="C19" s="85" t="s">
        <v>626</v>
      </c>
      <c r="D19" s="85">
        <v>3</v>
      </c>
      <c r="E19" s="85" t="str">
        <f t="shared" si="0"/>
        <v>7::Modelling data – Spreadsheets::3::- Explain the difference between data and information</v>
      </c>
      <c r="F19" s="85" t="s">
        <v>632</v>
      </c>
      <c r="G19" s="85" t="s">
        <v>628</v>
      </c>
      <c r="H19" s="85" t="s">
        <v>10</v>
      </c>
      <c r="I19" s="85" t="s">
        <v>102</v>
      </c>
    </row>
    <row r="20" spans="1:9" ht="15.75" customHeight="1">
      <c r="A20" s="85">
        <v>3</v>
      </c>
      <c r="B20" s="85">
        <v>7</v>
      </c>
      <c r="C20" s="85" t="s">
        <v>626</v>
      </c>
      <c r="D20" s="85">
        <v>3</v>
      </c>
      <c r="E20" s="85" t="str">
        <f t="shared" si="0"/>
        <v>7::Modelling data – Spreadsheets::3::- Explain the difference between primary and secondary sources of data</v>
      </c>
      <c r="F20" s="85" t="s">
        <v>633</v>
      </c>
      <c r="G20" s="85" t="s">
        <v>628</v>
      </c>
      <c r="H20" s="85" t="s">
        <v>10</v>
      </c>
      <c r="I20" s="85" t="s">
        <v>102</v>
      </c>
    </row>
    <row r="21" spans="1:9" ht="15.75" customHeight="1">
      <c r="A21" s="85">
        <v>3</v>
      </c>
      <c r="B21" s="85">
        <v>7</v>
      </c>
      <c r="C21" s="85" t="s">
        <v>626</v>
      </c>
      <c r="D21" s="85">
        <v>3</v>
      </c>
      <c r="E21" s="85" t="str">
        <f t="shared" si="0"/>
        <v>7::Modelling data – Spreadsheets::3::- Collect data</v>
      </c>
      <c r="F21" s="85" t="s">
        <v>634</v>
      </c>
      <c r="G21" s="85" t="s">
        <v>628</v>
      </c>
      <c r="H21" s="85" t="s">
        <v>223</v>
      </c>
      <c r="I21" s="85" t="s">
        <v>102</v>
      </c>
    </row>
    <row r="22" spans="1:9" ht="15.75" customHeight="1">
      <c r="A22" s="85">
        <v>3</v>
      </c>
      <c r="B22" s="85">
        <v>7</v>
      </c>
      <c r="C22" s="85" t="s">
        <v>626</v>
      </c>
      <c r="D22" s="85">
        <v>4</v>
      </c>
      <c r="E22" s="85" t="str">
        <f t="shared" si="0"/>
        <v>7::Modelling data – Spreadsheets::4::- Analyse data</v>
      </c>
      <c r="F22" s="85" t="s">
        <v>635</v>
      </c>
      <c r="G22" s="85" t="s">
        <v>628</v>
      </c>
      <c r="H22" s="85" t="s">
        <v>223</v>
      </c>
      <c r="I22" s="85" t="s">
        <v>102</v>
      </c>
    </row>
    <row r="23" spans="1:9" ht="15.75" customHeight="1">
      <c r="A23" s="85">
        <v>3</v>
      </c>
      <c r="B23" s="85">
        <v>7</v>
      </c>
      <c r="C23" s="85" t="s">
        <v>626</v>
      </c>
      <c r="D23" s="85">
        <v>4</v>
      </c>
      <c r="E23" s="85" t="str">
        <f t="shared" si="0"/>
        <v>7::Modelling data – Spreadsheets::4::- Create appropriate charts in a spreadsheet</v>
      </c>
      <c r="F23" s="85" t="s">
        <v>636</v>
      </c>
      <c r="G23" s="85" t="s">
        <v>628</v>
      </c>
      <c r="H23" s="85" t="s">
        <v>223</v>
      </c>
      <c r="I23" s="85" t="s">
        <v>102</v>
      </c>
    </row>
    <row r="24" spans="1:9" ht="15.75" customHeight="1">
      <c r="A24" s="85">
        <v>3</v>
      </c>
      <c r="B24" s="85">
        <v>7</v>
      </c>
      <c r="C24" s="85" t="s">
        <v>626</v>
      </c>
      <c r="D24" s="85">
        <v>4</v>
      </c>
      <c r="E24" s="85" t="str">
        <f t="shared" si="0"/>
        <v>7::Modelling data – Spreadsheets::4::- Use the functions SUM, COUNTA, MAX, and MIN in a spreadsheet</v>
      </c>
      <c r="F24" s="85" t="s">
        <v>637</v>
      </c>
      <c r="G24" s="85" t="s">
        <v>628</v>
      </c>
      <c r="H24" s="85" t="s">
        <v>579</v>
      </c>
      <c r="I24" s="85" t="s">
        <v>102</v>
      </c>
    </row>
    <row r="25" spans="1:9" ht="15.75" customHeight="1">
      <c r="A25" s="85">
        <v>3</v>
      </c>
      <c r="B25" s="85">
        <v>7</v>
      </c>
      <c r="C25" s="85" t="s">
        <v>626</v>
      </c>
      <c r="D25" s="85">
        <v>5</v>
      </c>
      <c r="E25" s="85" t="str">
        <f t="shared" si="0"/>
        <v>7::Modelling data – Spreadsheets::5::- Analyse data</v>
      </c>
      <c r="F25" s="85" t="s">
        <v>635</v>
      </c>
      <c r="G25" s="85" t="s">
        <v>628</v>
      </c>
      <c r="H25" s="85" t="s">
        <v>223</v>
      </c>
      <c r="I25" s="85" t="s">
        <v>102</v>
      </c>
    </row>
    <row r="26" spans="1:9" ht="15.75" customHeight="1">
      <c r="A26" s="85">
        <v>3</v>
      </c>
      <c r="B26" s="85">
        <v>7</v>
      </c>
      <c r="C26" s="85" t="s">
        <v>626</v>
      </c>
      <c r="D26" s="85">
        <v>5</v>
      </c>
      <c r="E26" s="85" t="str">
        <f t="shared" si="0"/>
        <v>7::Modelling data – Spreadsheets::5::- Use a spreadsheet to sort and filter data</v>
      </c>
      <c r="F26" s="85" t="s">
        <v>638</v>
      </c>
      <c r="G26" s="85" t="s">
        <v>628</v>
      </c>
      <c r="H26" s="85" t="s">
        <v>223</v>
      </c>
      <c r="I26" s="85" t="s">
        <v>102</v>
      </c>
    </row>
    <row r="27" spans="1:9" ht="15.75" customHeight="1">
      <c r="A27" s="85">
        <v>3</v>
      </c>
      <c r="B27" s="85">
        <v>7</v>
      </c>
      <c r="C27" s="85" t="s">
        <v>626</v>
      </c>
      <c r="D27" s="85">
        <v>5</v>
      </c>
      <c r="E27" s="85" t="str">
        <f t="shared" si="0"/>
        <v>7::Modelling data – Spreadsheets::5::- Use the functions AVERAGE, COUNTIF, and IF in a spreadsheet</v>
      </c>
      <c r="F27" s="85" t="s">
        <v>639</v>
      </c>
      <c r="G27" s="85" t="s">
        <v>628</v>
      </c>
      <c r="H27" s="85" t="s">
        <v>579</v>
      </c>
      <c r="I27" s="85" t="s">
        <v>102</v>
      </c>
    </row>
    <row r="28" spans="1:9" ht="15.75" customHeight="1">
      <c r="A28" s="85">
        <v>3</v>
      </c>
      <c r="B28" s="85">
        <v>7</v>
      </c>
      <c r="C28" s="85" t="s">
        <v>626</v>
      </c>
      <c r="D28" s="85">
        <v>6</v>
      </c>
      <c r="E28" s="85" t="str">
        <f t="shared" si="0"/>
        <v>7::Modelling data – Spreadsheets::6::- Use conditional formatting in a spreadsheet</v>
      </c>
      <c r="F28" s="85" t="s">
        <v>640</v>
      </c>
      <c r="G28" s="85" t="s">
        <v>628</v>
      </c>
      <c r="H28" s="85" t="s">
        <v>579</v>
      </c>
      <c r="I28" s="85" t="s">
        <v>102</v>
      </c>
    </row>
    <row r="29" spans="1:9" ht="15.75" customHeight="1">
      <c r="A29" s="85">
        <v>3</v>
      </c>
      <c r="B29" s="85">
        <v>7</v>
      </c>
      <c r="C29" s="85" t="s">
        <v>626</v>
      </c>
      <c r="D29" s="85">
        <v>6</v>
      </c>
      <c r="E29" s="85" t="str">
        <f t="shared" si="0"/>
        <v>7::Modelling data – Spreadsheets::6::- Apply all of the spreadsheet skills covered in this unit</v>
      </c>
      <c r="F29" s="85" t="s">
        <v>641</v>
      </c>
      <c r="G29" s="85" t="s">
        <v>628</v>
      </c>
      <c r="H29" s="85" t="s">
        <v>579</v>
      </c>
      <c r="I29" s="85" t="s">
        <v>102</v>
      </c>
    </row>
    <row r="30" spans="1:9" ht="15.75" customHeight="1">
      <c r="A30" s="85">
        <v>3</v>
      </c>
      <c r="B30" s="85">
        <v>7</v>
      </c>
      <c r="C30" s="85" t="s">
        <v>642</v>
      </c>
      <c r="D30" s="85">
        <v>1</v>
      </c>
      <c r="E30" s="85" t="str">
        <f t="shared" si="0"/>
        <v>7::Networks from semaphores to the Internet::1::- Define what a computer network is and explain how data is transmitted between computers across networks</v>
      </c>
      <c r="F30" s="85" t="s">
        <v>643</v>
      </c>
      <c r="G30" s="85">
        <v>3.5</v>
      </c>
      <c r="H30" s="85" t="s">
        <v>6</v>
      </c>
      <c r="I30" s="85" t="s">
        <v>56</v>
      </c>
    </row>
    <row r="31" spans="1:9" ht="15.75" customHeight="1">
      <c r="A31" s="85">
        <v>3</v>
      </c>
      <c r="B31" s="85">
        <v>7</v>
      </c>
      <c r="C31" s="85" t="s">
        <v>642</v>
      </c>
      <c r="D31" s="85">
        <v>1</v>
      </c>
      <c r="E31" s="85" t="str">
        <f t="shared" si="0"/>
        <v>7::Networks from semaphores to the Internet::1::- Define ‘protocol’ and provide examples of non-networking protocols</v>
      </c>
      <c r="F31" s="85" t="s">
        <v>644</v>
      </c>
      <c r="G31" s="85">
        <v>3.5</v>
      </c>
      <c r="H31" s="85" t="s">
        <v>6</v>
      </c>
      <c r="I31" s="85" t="s">
        <v>56</v>
      </c>
    </row>
    <row r="32" spans="1:9" ht="15.75" customHeight="1">
      <c r="A32" s="85">
        <v>3</v>
      </c>
      <c r="B32" s="85">
        <v>7</v>
      </c>
      <c r="C32" s="85" t="s">
        <v>642</v>
      </c>
      <c r="D32" s="85">
        <v>2</v>
      </c>
      <c r="E32" s="85" t="str">
        <f t="shared" si="0"/>
        <v>7::Networks from semaphores to the Internet::2::- List examples of the hardware necessary for connecting devices to networks</v>
      </c>
      <c r="F32" s="85" t="s">
        <v>645</v>
      </c>
      <c r="G32" s="85">
        <v>3.5</v>
      </c>
      <c r="H32" s="85" t="s">
        <v>271</v>
      </c>
      <c r="I32" s="85" t="s">
        <v>56</v>
      </c>
    </row>
    <row r="33" spans="1:9" ht="15.75" customHeight="1">
      <c r="A33" s="85">
        <v>3</v>
      </c>
      <c r="B33" s="85">
        <v>7</v>
      </c>
      <c r="C33" s="85" t="s">
        <v>642</v>
      </c>
      <c r="D33" s="85">
        <v>3</v>
      </c>
      <c r="E33" s="85" t="str">
        <f t="shared" si="0"/>
        <v>7::Networks from semaphores to the Internet::3::- Compare wired to wireless connections and list examples of specific technologies currently used to implement such connections</v>
      </c>
      <c r="F33" s="85" t="s">
        <v>646</v>
      </c>
      <c r="G33" s="85">
        <v>3.5</v>
      </c>
      <c r="H33" s="85" t="s">
        <v>271</v>
      </c>
      <c r="I33" s="85" t="s">
        <v>56</v>
      </c>
    </row>
    <row r="34" spans="1:9" ht="15.75" customHeight="1">
      <c r="A34" s="85">
        <v>3</v>
      </c>
      <c r="B34" s="85">
        <v>7</v>
      </c>
      <c r="C34" s="85" t="s">
        <v>642</v>
      </c>
      <c r="D34" s="85">
        <v>3</v>
      </c>
      <c r="E34" s="85" t="str">
        <f t="shared" si="0"/>
        <v>7::Networks from semaphores to the Internet::3::- Define ‘bandwidth’, using the appropriate units for measuring the rate at which data is transmitted, and discuss familiar examples where bandwidth is important</v>
      </c>
      <c r="F34" s="85" t="s">
        <v>647</v>
      </c>
      <c r="G34" s="85">
        <v>3.5</v>
      </c>
      <c r="H34" s="85" t="s">
        <v>6</v>
      </c>
      <c r="I34" s="85" t="s">
        <v>56</v>
      </c>
    </row>
    <row r="35" spans="1:9" ht="15.75" customHeight="1">
      <c r="A35" s="85">
        <v>3</v>
      </c>
      <c r="B35" s="85">
        <v>7</v>
      </c>
      <c r="C35" s="85" t="s">
        <v>642</v>
      </c>
      <c r="D35" s="85">
        <v>4</v>
      </c>
      <c r="E35" s="85" t="str">
        <f t="shared" si="0"/>
        <v>7::Networks from semaphores to the Internet::4::- Define what the internet is</v>
      </c>
      <c r="F35" s="85" t="s">
        <v>648</v>
      </c>
      <c r="G35" s="85">
        <v>3.5</v>
      </c>
      <c r="H35" s="85" t="s">
        <v>6</v>
      </c>
      <c r="I35" s="85" t="s">
        <v>56</v>
      </c>
    </row>
    <row r="36" spans="1:9" ht="15.75" customHeight="1">
      <c r="A36" s="85">
        <v>3</v>
      </c>
      <c r="B36" s="85">
        <v>7</v>
      </c>
      <c r="C36" s="85" t="s">
        <v>642</v>
      </c>
      <c r="D36" s="85">
        <v>4</v>
      </c>
      <c r="E36" s="85" t="str">
        <f t="shared" si="0"/>
        <v>7::Networks from semaphores to the Internet::4::- Explain how data travels between computers across the internet</v>
      </c>
      <c r="F36" s="85" t="s">
        <v>649</v>
      </c>
      <c r="G36" s="85">
        <v>3.5</v>
      </c>
      <c r="H36" s="85" t="s">
        <v>6</v>
      </c>
      <c r="I36" s="85" t="s">
        <v>56</v>
      </c>
    </row>
    <row r="37" spans="1:9" ht="15.75" customHeight="1">
      <c r="A37" s="85">
        <v>3</v>
      </c>
      <c r="B37" s="85">
        <v>7</v>
      </c>
      <c r="C37" s="85" t="s">
        <v>642</v>
      </c>
      <c r="D37" s="85">
        <v>4</v>
      </c>
      <c r="E37" s="85" t="str">
        <f t="shared" si="0"/>
        <v>7::Networks from semaphores to the Internet::4::- Describe key words such as ‘protocols’, ‘packets’, and ‘addressing’</v>
      </c>
      <c r="F37" s="85" t="s">
        <v>650</v>
      </c>
      <c r="G37" s="85">
        <v>3.5</v>
      </c>
      <c r="H37" s="85" t="s">
        <v>6</v>
      </c>
      <c r="I37" s="85" t="s">
        <v>56</v>
      </c>
    </row>
    <row r="38" spans="1:9" ht="15.75" customHeight="1">
      <c r="A38" s="85">
        <v>3</v>
      </c>
      <c r="B38" s="85">
        <v>7</v>
      </c>
      <c r="C38" s="85" t="s">
        <v>642</v>
      </c>
      <c r="D38" s="85">
        <v>5</v>
      </c>
      <c r="E38" s="85" t="str">
        <f t="shared" si="0"/>
        <v>7::Networks from semaphores to the Internet::5::- Explain the difference between the internet, its services, and the World Wide Web</v>
      </c>
      <c r="F38" s="85" t="s">
        <v>651</v>
      </c>
      <c r="G38" s="85">
        <v>3.5</v>
      </c>
      <c r="H38" s="85" t="s">
        <v>6</v>
      </c>
      <c r="I38" s="85" t="s">
        <v>56</v>
      </c>
    </row>
    <row r="39" spans="1:9" ht="15.75" customHeight="1">
      <c r="A39" s="85">
        <v>3</v>
      </c>
      <c r="B39" s="85">
        <v>7</v>
      </c>
      <c r="C39" s="85" t="s">
        <v>642</v>
      </c>
      <c r="D39" s="85">
        <v>5</v>
      </c>
      <c r="E39" s="85" t="str">
        <f t="shared" si="0"/>
        <v>7::Networks from semaphores to the Internet::5::- Describe how services are provided over the internet</v>
      </c>
      <c r="F39" s="85" t="s">
        <v>652</v>
      </c>
      <c r="G39" s="85">
        <v>3.5</v>
      </c>
      <c r="H39" s="85" t="s">
        <v>6</v>
      </c>
      <c r="I39" s="85" t="s">
        <v>56</v>
      </c>
    </row>
    <row r="40" spans="1:9" ht="15.75" customHeight="1">
      <c r="A40" s="85">
        <v>3</v>
      </c>
      <c r="B40" s="85">
        <v>7</v>
      </c>
      <c r="C40" s="85" t="s">
        <v>642</v>
      </c>
      <c r="D40" s="85">
        <v>5</v>
      </c>
      <c r="E40" s="85" t="str">
        <f t="shared" si="0"/>
        <v>7::Networks from semaphores to the Internet::5::- List some of these services and the context in which they are used</v>
      </c>
      <c r="F40" s="85" t="s">
        <v>653</v>
      </c>
      <c r="G40" s="85">
        <v>3.5</v>
      </c>
      <c r="H40" s="85" t="s">
        <v>6</v>
      </c>
      <c r="I40" s="85" t="s">
        <v>56</v>
      </c>
    </row>
    <row r="41" spans="1:9" ht="15.75" customHeight="1">
      <c r="A41" s="85">
        <v>3</v>
      </c>
      <c r="B41" s="85">
        <v>7</v>
      </c>
      <c r="C41" s="85" t="s">
        <v>642</v>
      </c>
      <c r="D41" s="85">
        <v>5</v>
      </c>
      <c r="E41" s="85" t="str">
        <f t="shared" si="0"/>
        <v>7::Networks from semaphores to the Internet::5::- Explain the term ‘connectivity’ as the capacity for connected devices (‘Internet of Things’) to collect and share information about me with or without my knowledge (including microphones, cameras, and geolocation)</v>
      </c>
      <c r="F41" s="85" t="s">
        <v>654</v>
      </c>
      <c r="G41" s="85">
        <v>3.5</v>
      </c>
      <c r="H41" s="85" t="s">
        <v>6</v>
      </c>
      <c r="I41" s="85" t="s">
        <v>56</v>
      </c>
    </row>
    <row r="42" spans="1:9" ht="15.75" customHeight="1">
      <c r="A42" s="85">
        <v>3</v>
      </c>
      <c r="B42" s="85">
        <v>7</v>
      </c>
      <c r="C42" s="85" t="s">
        <v>642</v>
      </c>
      <c r="D42" s="85">
        <v>5</v>
      </c>
      <c r="E42" s="85" t="str">
        <f t="shared" si="0"/>
        <v>7::Networks from semaphores to the Internet::5::- Describe how internet-connected devices can affect me</v>
      </c>
      <c r="F42" s="85" t="s">
        <v>655</v>
      </c>
      <c r="G42" s="85">
        <v>3.5</v>
      </c>
      <c r="H42" s="85" t="s">
        <v>366</v>
      </c>
      <c r="I42" s="85" t="s">
        <v>56</v>
      </c>
    </row>
    <row r="43" spans="1:9" ht="15.75" customHeight="1">
      <c r="A43" s="85">
        <v>3</v>
      </c>
      <c r="B43" s="85">
        <v>7</v>
      </c>
      <c r="C43" s="85" t="s">
        <v>642</v>
      </c>
      <c r="D43" s="85">
        <v>6</v>
      </c>
      <c r="E43" s="85" t="str">
        <f t="shared" si="0"/>
        <v>7::Networks from semaphores to the Internet::6::- Describe components (servers, browsers, pages, HTTP and HTTPS protocols, etc.) and how they work together</v>
      </c>
      <c r="F43" s="85" t="s">
        <v>656</v>
      </c>
      <c r="G43" s="85">
        <v>3.5</v>
      </c>
      <c r="H43" s="85" t="s">
        <v>6</v>
      </c>
      <c r="I43" s="85" t="s">
        <v>56</v>
      </c>
    </row>
    <row r="44" spans="1:9" ht="15.75" customHeight="1">
      <c r="A44" s="85">
        <v>3</v>
      </c>
      <c r="B44" s="85">
        <v>7</v>
      </c>
      <c r="C44" s="85" t="s">
        <v>657</v>
      </c>
      <c r="D44" s="85">
        <v>1</v>
      </c>
      <c r="E44" s="85" t="str">
        <f t="shared" si="0"/>
        <v>7::Programming essentials in Scratch – part I::1::- Compare how humans and computers understand instructions (understand and carry out)</v>
      </c>
      <c r="F44" s="85" t="s">
        <v>658</v>
      </c>
      <c r="G44" s="85" t="s">
        <v>659</v>
      </c>
      <c r="H44" s="85" t="s">
        <v>18</v>
      </c>
      <c r="I44" s="85" t="s">
        <v>102</v>
      </c>
    </row>
    <row r="45" spans="1:9" ht="15.75" customHeight="1">
      <c r="A45" s="85">
        <v>3</v>
      </c>
      <c r="B45" s="85">
        <v>7</v>
      </c>
      <c r="C45" s="85" t="s">
        <v>657</v>
      </c>
      <c r="D45" s="85">
        <v>1</v>
      </c>
      <c r="E45" s="85" t="str">
        <f t="shared" si="0"/>
        <v>7::Programming essentials in Scratch – part I::1::- Define a sequence as instructions performed in order, with each executed in turn</v>
      </c>
      <c r="F45" s="85" t="s">
        <v>660</v>
      </c>
      <c r="G45" s="85" t="s">
        <v>659</v>
      </c>
      <c r="H45" s="85" t="s">
        <v>18</v>
      </c>
      <c r="I45" s="85" t="s">
        <v>102</v>
      </c>
    </row>
    <row r="46" spans="1:9" ht="15.75" customHeight="1">
      <c r="A46" s="85">
        <v>3</v>
      </c>
      <c r="B46" s="85">
        <v>7</v>
      </c>
      <c r="C46" s="85" t="s">
        <v>657</v>
      </c>
      <c r="D46" s="85">
        <v>1</v>
      </c>
      <c r="E46" s="85" t="str">
        <f t="shared" si="0"/>
        <v>7::Programming essentials in Scratch – part I::1::- Predict the outcome of a simple sequence</v>
      </c>
      <c r="F46" s="85" t="s">
        <v>661</v>
      </c>
      <c r="G46" s="85" t="s">
        <v>659</v>
      </c>
      <c r="H46" s="85" t="s">
        <v>240</v>
      </c>
      <c r="I46" s="85" t="s">
        <v>102</v>
      </c>
    </row>
    <row r="47" spans="1:9" ht="15.75" customHeight="1">
      <c r="A47" s="85">
        <v>3</v>
      </c>
      <c r="B47" s="85">
        <v>7</v>
      </c>
      <c r="C47" s="85" t="s">
        <v>657</v>
      </c>
      <c r="D47" s="85">
        <v>1</v>
      </c>
      <c r="E47" s="85" t="str">
        <f t="shared" si="0"/>
        <v>7::Programming essentials in Scratch – part I::1::- Modify a sequence</v>
      </c>
      <c r="F47" s="85" t="s">
        <v>662</v>
      </c>
      <c r="G47" s="85" t="s">
        <v>659</v>
      </c>
      <c r="H47" s="85" t="s">
        <v>240</v>
      </c>
      <c r="I47" s="85" t="s">
        <v>102</v>
      </c>
    </row>
    <row r="48" spans="1:9" ht="13">
      <c r="A48" s="85">
        <v>3</v>
      </c>
      <c r="B48" s="85">
        <v>7</v>
      </c>
      <c r="C48" s="85" t="s">
        <v>657</v>
      </c>
      <c r="D48" s="85">
        <v>2</v>
      </c>
      <c r="E48" s="85" t="str">
        <f t="shared" si="0"/>
        <v>7::Programming essentials in Scratch – part I::2::- Define a variable as a name that refers to data being stored by the computer</v>
      </c>
      <c r="F48" s="85" t="s">
        <v>663</v>
      </c>
      <c r="G48" s="85" t="s">
        <v>659</v>
      </c>
      <c r="H48" s="85" t="s">
        <v>240</v>
      </c>
      <c r="I48" s="85" t="s">
        <v>102</v>
      </c>
    </row>
    <row r="49" spans="1:9" ht="13">
      <c r="A49" s="85">
        <v>3</v>
      </c>
      <c r="B49" s="85">
        <v>7</v>
      </c>
      <c r="C49" s="85" t="s">
        <v>657</v>
      </c>
      <c r="D49" s="85">
        <v>2</v>
      </c>
      <c r="E49" s="85" t="str">
        <f t="shared" si="0"/>
        <v>7::Programming essentials in Scratch – part I::2::- Recognise that computers follow the control flow of input/process/output</v>
      </c>
      <c r="F49" s="85" t="s">
        <v>664</v>
      </c>
      <c r="G49" s="85" t="s">
        <v>659</v>
      </c>
      <c r="H49" s="85" t="s">
        <v>240</v>
      </c>
      <c r="I49" s="85" t="s">
        <v>102</v>
      </c>
    </row>
    <row r="50" spans="1:9" ht="13">
      <c r="A50" s="85">
        <v>3</v>
      </c>
      <c r="B50" s="85">
        <v>7</v>
      </c>
      <c r="C50" s="85" t="s">
        <v>657</v>
      </c>
      <c r="D50" s="85">
        <v>2</v>
      </c>
      <c r="E50" s="85" t="str">
        <f t="shared" si="0"/>
        <v>7::Programming essentials in Scratch – part I::2::- Predict the outcome of a simple sequence that includes variables</v>
      </c>
      <c r="F50" s="85" t="s">
        <v>665</v>
      </c>
      <c r="G50" s="85" t="s">
        <v>659</v>
      </c>
      <c r="H50" s="85" t="s">
        <v>240</v>
      </c>
      <c r="I50" s="85" t="s">
        <v>102</v>
      </c>
    </row>
    <row r="51" spans="1:9" ht="13">
      <c r="A51" s="85">
        <v>3</v>
      </c>
      <c r="B51" s="85">
        <v>7</v>
      </c>
      <c r="C51" s="85" t="s">
        <v>657</v>
      </c>
      <c r="D51" s="85">
        <v>2</v>
      </c>
      <c r="E51" s="85" t="str">
        <f t="shared" si="0"/>
        <v>7::Programming essentials in Scratch – part I::2::- Trace the values of variables within a sequence</v>
      </c>
      <c r="F51" s="85" t="s">
        <v>666</v>
      </c>
      <c r="G51" s="85" t="s">
        <v>659</v>
      </c>
      <c r="H51" s="85" t="s">
        <v>240</v>
      </c>
      <c r="I51" s="85" t="s">
        <v>102</v>
      </c>
    </row>
    <row r="52" spans="1:9" ht="13">
      <c r="A52" s="85">
        <v>3</v>
      </c>
      <c r="B52" s="85">
        <v>7</v>
      </c>
      <c r="C52" s="85" t="s">
        <v>657</v>
      </c>
      <c r="D52" s="85">
        <v>2</v>
      </c>
      <c r="E52" s="85" t="str">
        <f t="shared" si="0"/>
        <v>7::Programming essentials in Scratch – part I::2::- Make a sequence that includes a variable</v>
      </c>
      <c r="F52" s="85" t="s">
        <v>667</v>
      </c>
      <c r="G52" s="85" t="s">
        <v>659</v>
      </c>
      <c r="H52" s="85" t="s">
        <v>240</v>
      </c>
      <c r="I52" s="85" t="s">
        <v>102</v>
      </c>
    </row>
    <row r="53" spans="1:9" ht="13">
      <c r="A53" s="85">
        <v>3</v>
      </c>
      <c r="B53" s="85">
        <v>7</v>
      </c>
      <c r="C53" s="85" t="s">
        <v>657</v>
      </c>
      <c r="D53" s="85">
        <v>3</v>
      </c>
      <c r="E53" s="85" t="str">
        <f t="shared" si="0"/>
        <v>7::Programming essentials in Scratch – part I::3::- Define a condition as an expression that will be evaluated as either true or false</v>
      </c>
      <c r="F53" s="85" t="s">
        <v>668</v>
      </c>
      <c r="G53" s="85" t="s">
        <v>659</v>
      </c>
      <c r="H53" s="85" t="s">
        <v>240</v>
      </c>
      <c r="I53" s="85" t="s">
        <v>102</v>
      </c>
    </row>
    <row r="54" spans="1:9" ht="13">
      <c r="A54" s="85">
        <v>3</v>
      </c>
      <c r="B54" s="85">
        <v>7</v>
      </c>
      <c r="C54" s="85" t="s">
        <v>657</v>
      </c>
      <c r="D54" s="85">
        <v>3</v>
      </c>
      <c r="E54" s="85" t="str">
        <f t="shared" si="0"/>
        <v>7::Programming essentials in Scratch – part I::3::- Identify that selection uses conditions to control the flow of a sequence</v>
      </c>
      <c r="F54" s="85" t="s">
        <v>669</v>
      </c>
      <c r="G54" s="85" t="s">
        <v>659</v>
      </c>
      <c r="H54" s="85" t="s">
        <v>240</v>
      </c>
      <c r="I54" s="85" t="s">
        <v>102</v>
      </c>
    </row>
    <row r="55" spans="1:9" ht="13">
      <c r="A55" s="85">
        <v>3</v>
      </c>
      <c r="B55" s="85">
        <v>7</v>
      </c>
      <c r="C55" s="85" t="s">
        <v>657</v>
      </c>
      <c r="D55" s="85">
        <v>3</v>
      </c>
      <c r="E55" s="85" t="str">
        <f t="shared" si="0"/>
        <v>7::Programming essentials in Scratch – part I::3::- Identify where selection statements can be used in a program</v>
      </c>
      <c r="F55" s="85" t="s">
        <v>670</v>
      </c>
      <c r="G55" s="85" t="s">
        <v>659</v>
      </c>
      <c r="H55" s="85" t="s">
        <v>240</v>
      </c>
      <c r="I55" s="85" t="s">
        <v>102</v>
      </c>
    </row>
    <row r="56" spans="1:9" ht="13">
      <c r="A56" s="85">
        <v>3</v>
      </c>
      <c r="B56" s="85">
        <v>7</v>
      </c>
      <c r="C56" s="85" t="s">
        <v>657</v>
      </c>
      <c r="D56" s="85">
        <v>3</v>
      </c>
      <c r="E56" s="85" t="str">
        <f t="shared" si="0"/>
        <v>7::Programming essentials in Scratch – part I::3::- Modify a program to include selection</v>
      </c>
      <c r="F56" s="85" t="s">
        <v>671</v>
      </c>
      <c r="G56" s="85" t="s">
        <v>659</v>
      </c>
      <c r="H56" s="85" t="s">
        <v>240</v>
      </c>
      <c r="I56" s="85" t="s">
        <v>102</v>
      </c>
    </row>
    <row r="57" spans="1:9" ht="13">
      <c r="A57" s="85">
        <v>3</v>
      </c>
      <c r="B57" s="85">
        <v>7</v>
      </c>
      <c r="C57" s="85" t="s">
        <v>657</v>
      </c>
      <c r="D57" s="85">
        <v>4</v>
      </c>
      <c r="E57" s="85" t="str">
        <f t="shared" si="0"/>
        <v>7::Programming essentials in Scratch – part I::4::- Create conditions that use comparison operators (&gt;,&lt;,=)</v>
      </c>
      <c r="F57" s="85" t="s">
        <v>672</v>
      </c>
      <c r="G57" s="85" t="s">
        <v>659</v>
      </c>
      <c r="H57" s="85" t="s">
        <v>240</v>
      </c>
      <c r="I57" s="85" t="s">
        <v>102</v>
      </c>
    </row>
    <row r="58" spans="1:9" ht="13">
      <c r="A58" s="85">
        <v>3</v>
      </c>
      <c r="B58" s="85">
        <v>7</v>
      </c>
      <c r="C58" s="85" t="s">
        <v>657</v>
      </c>
      <c r="D58" s="85">
        <v>4</v>
      </c>
      <c r="E58" s="85" t="str">
        <f t="shared" si="0"/>
        <v>7::Programming essentials in Scratch – part I::4::- Create conditions that use logic operators (and/or/not)</v>
      </c>
      <c r="F58" s="85" t="s">
        <v>673</v>
      </c>
      <c r="G58" s="85" t="s">
        <v>659</v>
      </c>
      <c r="H58" s="85" t="s">
        <v>240</v>
      </c>
      <c r="I58" s="85" t="s">
        <v>102</v>
      </c>
    </row>
    <row r="59" spans="1:9" ht="13">
      <c r="A59" s="85">
        <v>3</v>
      </c>
      <c r="B59" s="85">
        <v>7</v>
      </c>
      <c r="C59" s="85" t="s">
        <v>657</v>
      </c>
      <c r="D59" s="85">
        <v>4</v>
      </c>
      <c r="E59" s="85" t="str">
        <f t="shared" si="0"/>
        <v>7::Programming essentials in Scratch – part I::4::- Identify where selection statements can be used in a program that include comparison and logical operators</v>
      </c>
      <c r="F59" s="85" t="s">
        <v>674</v>
      </c>
      <c r="G59" s="85" t="s">
        <v>659</v>
      </c>
      <c r="H59" s="85" t="s">
        <v>240</v>
      </c>
      <c r="I59" s="85" t="s">
        <v>102</v>
      </c>
    </row>
    <row r="60" spans="1:9" ht="13">
      <c r="A60" s="85">
        <v>3</v>
      </c>
      <c r="B60" s="85">
        <v>7</v>
      </c>
      <c r="C60" s="85" t="s">
        <v>657</v>
      </c>
      <c r="D60" s="85">
        <v>5</v>
      </c>
      <c r="E60" s="85" t="str">
        <f t="shared" si="0"/>
        <v>7::Programming essentials in Scratch – part I::5::- Define iteration as a group of instructions that are repeatedly executed</v>
      </c>
      <c r="F60" s="85" t="s">
        <v>675</v>
      </c>
      <c r="G60" s="85" t="s">
        <v>659</v>
      </c>
      <c r="H60" s="85" t="s">
        <v>240</v>
      </c>
      <c r="I60" s="85" t="s">
        <v>102</v>
      </c>
    </row>
    <row r="61" spans="1:9" ht="13">
      <c r="A61" s="85">
        <v>3</v>
      </c>
      <c r="B61" s="85">
        <v>7</v>
      </c>
      <c r="C61" s="85" t="s">
        <v>657</v>
      </c>
      <c r="D61" s="85">
        <v>5</v>
      </c>
      <c r="E61" s="85" t="str">
        <f t="shared" si="0"/>
        <v>7::Programming essentials in Scratch – part I::5::- Describe the need for iteration</v>
      </c>
      <c r="F61" s="85" t="s">
        <v>676</v>
      </c>
      <c r="G61" s="85" t="s">
        <v>659</v>
      </c>
      <c r="H61" s="85" t="s">
        <v>240</v>
      </c>
      <c r="I61" s="85" t="s">
        <v>102</v>
      </c>
    </row>
    <row r="62" spans="1:9" ht="13">
      <c r="A62" s="85">
        <v>3</v>
      </c>
      <c r="B62" s="85">
        <v>7</v>
      </c>
      <c r="C62" s="85" t="s">
        <v>657</v>
      </c>
      <c r="D62" s="85">
        <v>5</v>
      </c>
      <c r="E62" s="85" t="str">
        <f t="shared" si="0"/>
        <v>7::Programming essentials in Scratch – part I::5::- Identify where count-controlled iteration can be used in a program</v>
      </c>
      <c r="F62" s="85" t="s">
        <v>677</v>
      </c>
      <c r="G62" s="85" t="s">
        <v>659</v>
      </c>
      <c r="H62" s="85" t="s">
        <v>240</v>
      </c>
      <c r="I62" s="85" t="s">
        <v>102</v>
      </c>
    </row>
    <row r="63" spans="1:9" ht="13">
      <c r="A63" s="85">
        <v>3</v>
      </c>
      <c r="B63" s="85">
        <v>7</v>
      </c>
      <c r="C63" s="85" t="s">
        <v>657</v>
      </c>
      <c r="D63" s="85">
        <v>5</v>
      </c>
      <c r="E63" s="85" t="str">
        <f t="shared" si="0"/>
        <v>7::Programming essentials in Scratch – part I::5::- Implement count-controlled iteration in a program</v>
      </c>
      <c r="F63" s="85" t="s">
        <v>678</v>
      </c>
      <c r="G63" s="85" t="s">
        <v>659</v>
      </c>
      <c r="H63" s="85" t="s">
        <v>240</v>
      </c>
      <c r="I63" s="85" t="s">
        <v>102</v>
      </c>
    </row>
    <row r="64" spans="1:9" ht="13">
      <c r="A64" s="85">
        <v>3</v>
      </c>
      <c r="B64" s="85">
        <v>7</v>
      </c>
      <c r="C64" s="85" t="s">
        <v>657</v>
      </c>
      <c r="D64" s="85">
        <v>5</v>
      </c>
      <c r="E64" s="85" t="str">
        <f t="shared" si="0"/>
        <v>7::Programming essentials in Scratch – part I::5::- Detect and correct errors in a program (debugging)</v>
      </c>
      <c r="F64" s="85" t="s">
        <v>679</v>
      </c>
      <c r="G64" s="85" t="s">
        <v>659</v>
      </c>
      <c r="H64" s="85" t="s">
        <v>240</v>
      </c>
      <c r="I64" s="85" t="s">
        <v>102</v>
      </c>
    </row>
    <row r="65" spans="1:9" ht="13">
      <c r="A65" s="85">
        <v>3</v>
      </c>
      <c r="B65" s="85">
        <v>7</v>
      </c>
      <c r="C65" s="85" t="s">
        <v>657</v>
      </c>
      <c r="D65" s="85">
        <v>6</v>
      </c>
      <c r="E65" s="85" t="str">
        <f t="shared" si="0"/>
        <v>7::Programming essentials in Scratch – part I::6::- Independently design and apply programming constructs to solve a problem (subroutine, selection, count-controlled iteration, operators, and variables)</v>
      </c>
      <c r="F65" s="85" t="s">
        <v>680</v>
      </c>
      <c r="G65" s="85" t="s">
        <v>659</v>
      </c>
      <c r="H65" s="85" t="s">
        <v>172</v>
      </c>
      <c r="I65" s="85" t="s">
        <v>102</v>
      </c>
    </row>
    <row r="66" spans="1:9" ht="13">
      <c r="A66" s="85">
        <v>3</v>
      </c>
      <c r="B66" s="85">
        <v>7</v>
      </c>
      <c r="C66" s="85" t="s">
        <v>681</v>
      </c>
      <c r="D66" s="85">
        <v>7</v>
      </c>
      <c r="E66" s="85" t="str">
        <f t="shared" si="0"/>
        <v>7::Programming essentials in Scratch – part II::7::- Define a subroutine as a group of instructions that will run when called by the main program or other subroutines</v>
      </c>
      <c r="F66" s="85" t="s">
        <v>682</v>
      </c>
      <c r="G66" s="85" t="s">
        <v>659</v>
      </c>
      <c r="H66" s="85" t="s">
        <v>240</v>
      </c>
      <c r="I66" s="85" t="s">
        <v>102</v>
      </c>
    </row>
    <row r="67" spans="1:9" ht="13">
      <c r="A67" s="85">
        <v>3</v>
      </c>
      <c r="B67" s="85">
        <v>7</v>
      </c>
      <c r="C67" s="85" t="s">
        <v>681</v>
      </c>
      <c r="D67" s="85">
        <v>7</v>
      </c>
      <c r="E67" s="85" t="str">
        <f t="shared" si="0"/>
        <v>7::Programming essentials in Scratch – part II::7::- Define decomposition as breaking a problem down into smaller, more manageable subproblems</v>
      </c>
      <c r="F67" s="85" t="s">
        <v>683</v>
      </c>
      <c r="G67" s="85" t="s">
        <v>659</v>
      </c>
      <c r="H67" s="85" t="s">
        <v>240</v>
      </c>
      <c r="I67" s="85" t="s">
        <v>102</v>
      </c>
    </row>
    <row r="68" spans="1:9" ht="13">
      <c r="A68" s="85">
        <v>3</v>
      </c>
      <c r="B68" s="85">
        <v>7</v>
      </c>
      <c r="C68" s="85" t="s">
        <v>681</v>
      </c>
      <c r="D68" s="85">
        <v>7</v>
      </c>
      <c r="E68" s="85" t="str">
        <f t="shared" si="0"/>
        <v>7::Programming essentials in Scratch – part II::7::- Identify how subroutines can be used for decomposition</v>
      </c>
      <c r="F68" s="85" t="s">
        <v>684</v>
      </c>
      <c r="G68" s="85" t="s">
        <v>659</v>
      </c>
      <c r="H68" s="85" t="s">
        <v>240</v>
      </c>
      <c r="I68" s="85" t="s">
        <v>102</v>
      </c>
    </row>
    <row r="69" spans="1:9" ht="13">
      <c r="A69" s="85">
        <v>3</v>
      </c>
      <c r="B69" s="85">
        <v>7</v>
      </c>
      <c r="C69" s="85" t="s">
        <v>681</v>
      </c>
      <c r="D69" s="85">
        <v>8</v>
      </c>
      <c r="E69" s="85" t="str">
        <f t="shared" si="0"/>
        <v>7::Programming essentials in Scratch – part II::8::- Identify where condition-controlled iteration can be used in a program</v>
      </c>
      <c r="F69" s="85" t="s">
        <v>685</v>
      </c>
      <c r="G69" s="85" t="s">
        <v>659</v>
      </c>
      <c r="H69" s="85" t="s">
        <v>240</v>
      </c>
      <c r="I69" s="85" t="s">
        <v>102</v>
      </c>
    </row>
    <row r="70" spans="1:9" ht="13">
      <c r="A70" s="85">
        <v>3</v>
      </c>
      <c r="B70" s="85">
        <v>7</v>
      </c>
      <c r="C70" s="85" t="s">
        <v>681</v>
      </c>
      <c r="D70" s="85">
        <v>8</v>
      </c>
      <c r="E70" s="85" t="str">
        <f t="shared" si="0"/>
        <v>7::Programming essentials in Scratch – part II::8::- Implement condition-controlled iteration in a program</v>
      </c>
      <c r="F70" s="85" t="s">
        <v>686</v>
      </c>
      <c r="G70" s="85" t="s">
        <v>659</v>
      </c>
      <c r="H70" s="85" t="s">
        <v>240</v>
      </c>
      <c r="I70" s="85" t="s">
        <v>102</v>
      </c>
    </row>
    <row r="71" spans="1:9" ht="13">
      <c r="A71" s="85">
        <v>3</v>
      </c>
      <c r="B71" s="85">
        <v>7</v>
      </c>
      <c r="C71" s="85" t="s">
        <v>681</v>
      </c>
      <c r="D71" s="85">
        <v>9</v>
      </c>
      <c r="E71" s="85" t="str">
        <f t="shared" si="0"/>
        <v>7::Programming essentials in Scratch – part II::9::- Evaluate which type of iteration is required in a program</v>
      </c>
      <c r="F71" s="85" t="s">
        <v>687</v>
      </c>
      <c r="G71" s="85" t="s">
        <v>659</v>
      </c>
      <c r="H71" s="85" t="s">
        <v>240</v>
      </c>
      <c r="I71" s="85" t="s">
        <v>102</v>
      </c>
    </row>
    <row r="72" spans="1:9" ht="13">
      <c r="A72" s="85">
        <v>3</v>
      </c>
      <c r="B72" s="85">
        <v>7</v>
      </c>
      <c r="C72" s="85" t="s">
        <v>681</v>
      </c>
      <c r="D72" s="85">
        <v>10</v>
      </c>
      <c r="E72" s="85" t="str">
        <f t="shared" si="0"/>
        <v>7::Programming essentials in Scratch – part II::10::- Define a list as a collection of related elements that are referred to by a single name</v>
      </c>
      <c r="F72" s="85" t="s">
        <v>688</v>
      </c>
      <c r="G72" s="85" t="s">
        <v>659</v>
      </c>
      <c r="H72" s="85" t="s">
        <v>240</v>
      </c>
      <c r="I72" s="85" t="s">
        <v>102</v>
      </c>
    </row>
    <row r="73" spans="1:9" ht="13">
      <c r="A73" s="85">
        <v>3</v>
      </c>
      <c r="B73" s="85">
        <v>7</v>
      </c>
      <c r="C73" s="85" t="s">
        <v>681</v>
      </c>
      <c r="D73" s="85">
        <v>10</v>
      </c>
      <c r="E73" s="85" t="str">
        <f t="shared" si="0"/>
        <v>7::Programming essentials in Scratch – part II::10::- Describe the need for lists</v>
      </c>
      <c r="F73" s="85" t="s">
        <v>689</v>
      </c>
      <c r="G73" s="85" t="s">
        <v>659</v>
      </c>
      <c r="H73" s="85" t="s">
        <v>240</v>
      </c>
      <c r="I73" s="85" t="s">
        <v>102</v>
      </c>
    </row>
    <row r="74" spans="1:9" ht="13">
      <c r="A74" s="85">
        <v>3</v>
      </c>
      <c r="B74" s="85">
        <v>7</v>
      </c>
      <c r="C74" s="85" t="s">
        <v>681</v>
      </c>
      <c r="D74" s="85">
        <v>10</v>
      </c>
      <c r="E74" s="85" t="str">
        <f t="shared" si="0"/>
        <v>7::Programming essentials in Scratch – part II::10::- Identify when lists can be used in a program</v>
      </c>
      <c r="F74" s="85" t="s">
        <v>690</v>
      </c>
      <c r="G74" s="85" t="s">
        <v>659</v>
      </c>
      <c r="H74" s="85" t="s">
        <v>240</v>
      </c>
      <c r="I74" s="85" t="s">
        <v>102</v>
      </c>
    </row>
    <row r="75" spans="1:9" ht="13">
      <c r="A75" s="85">
        <v>3</v>
      </c>
      <c r="B75" s="85">
        <v>7</v>
      </c>
      <c r="C75" s="85" t="s">
        <v>681</v>
      </c>
      <c r="D75" s="85">
        <v>10</v>
      </c>
      <c r="E75" s="85" t="str">
        <f t="shared" si="0"/>
        <v>7::Programming essentials in Scratch – part II::10::- Use a list</v>
      </c>
      <c r="F75" s="85" t="s">
        <v>691</v>
      </c>
      <c r="G75" s="85" t="s">
        <v>659</v>
      </c>
      <c r="H75" s="85" t="s">
        <v>240</v>
      </c>
      <c r="I75" s="85" t="s">
        <v>102</v>
      </c>
    </row>
    <row r="76" spans="1:9" ht="13">
      <c r="A76" s="85">
        <v>3</v>
      </c>
      <c r="B76" s="85">
        <v>7</v>
      </c>
      <c r="C76" s="85" t="s">
        <v>681</v>
      </c>
      <c r="D76" s="85">
        <v>11</v>
      </c>
      <c r="E76" s="85" t="str">
        <f t="shared" si="0"/>
        <v>7::Programming essentials in Scratch – part II::11::- Decompose a larger problem into smaller subproblems</v>
      </c>
      <c r="F76" s="85" t="s">
        <v>692</v>
      </c>
      <c r="G76" s="85" t="s">
        <v>659</v>
      </c>
      <c r="H76" s="85" t="s">
        <v>240</v>
      </c>
      <c r="I76" s="85" t="s">
        <v>102</v>
      </c>
    </row>
    <row r="77" spans="1:9" ht="13">
      <c r="A77" s="85">
        <v>3</v>
      </c>
      <c r="B77" s="85">
        <v>7</v>
      </c>
      <c r="C77" s="85" t="s">
        <v>681</v>
      </c>
      <c r="D77" s="85">
        <v>11</v>
      </c>
      <c r="E77" s="85" t="str">
        <f t="shared" si="0"/>
        <v>7::Programming essentials in Scratch – part II::11::- Apply appropriate constructs to solve a problem</v>
      </c>
      <c r="F77" s="85" t="s">
        <v>693</v>
      </c>
      <c r="G77" s="85" t="s">
        <v>659</v>
      </c>
      <c r="H77" s="85" t="s">
        <v>240</v>
      </c>
      <c r="I77" s="85" t="s">
        <v>102</v>
      </c>
    </row>
    <row r="78" spans="1:9" ht="13">
      <c r="A78" s="85">
        <v>3</v>
      </c>
      <c r="B78" s="85">
        <v>7</v>
      </c>
      <c r="C78" s="85" t="s">
        <v>681</v>
      </c>
      <c r="D78" s="85">
        <v>12</v>
      </c>
      <c r="E78" s="85" t="str">
        <f t="shared" si="0"/>
        <v>7::Programming essentials in Scratch – part II::12::- Decompose a larger problem into smaller subproblems</v>
      </c>
      <c r="F78" s="85" t="s">
        <v>692</v>
      </c>
      <c r="G78" s="85" t="s">
        <v>659</v>
      </c>
      <c r="H78" s="85" t="s">
        <v>240</v>
      </c>
      <c r="I78" s="85" t="s">
        <v>102</v>
      </c>
    </row>
    <row r="79" spans="1:9" ht="13">
      <c r="A79" s="85">
        <v>3</v>
      </c>
      <c r="B79" s="85">
        <v>7</v>
      </c>
      <c r="C79" s="85" t="s">
        <v>681</v>
      </c>
      <c r="D79" s="85">
        <v>12</v>
      </c>
      <c r="E79" s="85" t="str">
        <f t="shared" si="0"/>
        <v>7::Programming essentials in Scratch – part II::12::- Apply appropriate constructs to solve a problem</v>
      </c>
      <c r="F79" s="85" t="s">
        <v>693</v>
      </c>
      <c r="G79" s="85" t="s">
        <v>659</v>
      </c>
      <c r="H79" s="85" t="s">
        <v>172</v>
      </c>
      <c r="I79" s="85" t="s">
        <v>102</v>
      </c>
    </row>
    <row r="80" spans="1:9" ht="13">
      <c r="A80" s="85">
        <v>3</v>
      </c>
      <c r="B80" s="85">
        <v>7</v>
      </c>
      <c r="C80" s="85" t="s">
        <v>694</v>
      </c>
      <c r="D80" s="85">
        <v>1</v>
      </c>
      <c r="E80" s="85" t="str">
        <f t="shared" si="0"/>
        <v>7::Using media – Gaining support for a cause::1::- Select the most appropriate software to use to complete a task</v>
      </c>
      <c r="F80" s="85" t="s">
        <v>695</v>
      </c>
      <c r="G80" s="85" t="s">
        <v>696</v>
      </c>
      <c r="H80" s="85" t="s">
        <v>22</v>
      </c>
      <c r="I80" s="85" t="s">
        <v>60</v>
      </c>
    </row>
    <row r="81" spans="1:9" ht="13">
      <c r="A81" s="85">
        <v>3</v>
      </c>
      <c r="B81" s="85">
        <v>7</v>
      </c>
      <c r="C81" s="85" t="s">
        <v>694</v>
      </c>
      <c r="D81" s="85">
        <v>1</v>
      </c>
      <c r="E81" s="85" t="str">
        <f t="shared" si="0"/>
        <v>7::Using media – Gaining support for a cause::1::- Identify the key features of a word processor</v>
      </c>
      <c r="F81" s="85" t="s">
        <v>697</v>
      </c>
      <c r="G81" s="85" t="s">
        <v>696</v>
      </c>
      <c r="H81" s="85" t="s">
        <v>22</v>
      </c>
      <c r="I81" s="85" t="s">
        <v>60</v>
      </c>
    </row>
    <row r="82" spans="1:9" ht="13">
      <c r="A82" s="85">
        <v>3</v>
      </c>
      <c r="B82" s="85">
        <v>7</v>
      </c>
      <c r="C82" s="85" t="s">
        <v>694</v>
      </c>
      <c r="D82" s="85">
        <v>1</v>
      </c>
      <c r="E82" s="85" t="str">
        <f t="shared" si="0"/>
        <v>7::Using media – Gaining support for a cause::1::- Apply the key features of a word processor to format a document</v>
      </c>
      <c r="F82" s="85" t="s">
        <v>698</v>
      </c>
      <c r="G82" s="85" t="s">
        <v>696</v>
      </c>
      <c r="H82" s="85" t="s">
        <v>101</v>
      </c>
      <c r="I82" s="85" t="s">
        <v>60</v>
      </c>
    </row>
    <row r="83" spans="1:9" ht="13">
      <c r="A83" s="85">
        <v>3</v>
      </c>
      <c r="B83" s="85">
        <v>7</v>
      </c>
      <c r="C83" s="85" t="s">
        <v>694</v>
      </c>
      <c r="D83" s="85">
        <v>1</v>
      </c>
      <c r="E83" s="85" t="str">
        <f t="shared" si="0"/>
        <v>7::Using media – Gaining support for a cause::1::- Evaluate formatting techniques to understand why we format documents</v>
      </c>
      <c r="F83" s="85" t="s">
        <v>699</v>
      </c>
      <c r="G83" s="85" t="s">
        <v>696</v>
      </c>
      <c r="H83" s="85" t="s">
        <v>700</v>
      </c>
      <c r="I83" s="85" t="s">
        <v>60</v>
      </c>
    </row>
    <row r="84" spans="1:9" ht="13">
      <c r="A84" s="85">
        <v>3</v>
      </c>
      <c r="B84" s="85">
        <v>7</v>
      </c>
      <c r="C84" s="85" t="s">
        <v>694</v>
      </c>
      <c r="D84" s="85">
        <v>2</v>
      </c>
      <c r="E84" s="85" t="str">
        <f t="shared" si="0"/>
        <v>7::Using media – Gaining support for a cause::2::- Select appropriate images for a given context</v>
      </c>
      <c r="F84" s="85" t="s">
        <v>701</v>
      </c>
      <c r="G84" s="85" t="s">
        <v>696</v>
      </c>
      <c r="H84" s="85" t="s">
        <v>101</v>
      </c>
      <c r="I84" s="85" t="s">
        <v>60</v>
      </c>
    </row>
    <row r="85" spans="1:9" ht="13">
      <c r="A85" s="85">
        <v>3</v>
      </c>
      <c r="B85" s="85">
        <v>7</v>
      </c>
      <c r="C85" s="85" t="s">
        <v>694</v>
      </c>
      <c r="D85" s="85">
        <v>2</v>
      </c>
      <c r="E85" s="85" t="str">
        <f t="shared" si="0"/>
        <v>7::Using media – Gaining support for a cause::2::- Apply appropriate formatting techniques</v>
      </c>
      <c r="F85" s="85" t="s">
        <v>702</v>
      </c>
      <c r="G85" s="85" t="s">
        <v>696</v>
      </c>
      <c r="H85" s="85" t="s">
        <v>101</v>
      </c>
      <c r="I85" s="85" t="s">
        <v>60</v>
      </c>
    </row>
    <row r="86" spans="1:9" ht="13">
      <c r="A86" s="85">
        <v>3</v>
      </c>
      <c r="B86" s="85">
        <v>7</v>
      </c>
      <c r="C86" s="85" t="s">
        <v>694</v>
      </c>
      <c r="D86" s="85">
        <v>2</v>
      </c>
      <c r="E86" s="85" t="str">
        <f t="shared" si="0"/>
        <v>7::Using media – Gaining support for a cause::2::- Demonstrate an understanding of licensing issues involving online content by applying appropriate Creative Commons licences</v>
      </c>
      <c r="F86" s="85" t="s">
        <v>703</v>
      </c>
      <c r="G86" s="85" t="s">
        <v>696</v>
      </c>
      <c r="H86" s="85" t="s">
        <v>16</v>
      </c>
      <c r="I86" s="85" t="s">
        <v>60</v>
      </c>
    </row>
    <row r="87" spans="1:9" ht="13">
      <c r="A87" s="85">
        <v>3</v>
      </c>
      <c r="B87" s="85">
        <v>7</v>
      </c>
      <c r="C87" s="85" t="s">
        <v>694</v>
      </c>
      <c r="D87" s="85">
        <v>2</v>
      </c>
      <c r="E87" s="85" t="str">
        <f t="shared" si="0"/>
        <v>7::Using media – Gaining support for a cause::2::- Demonstrate the ability to credit the original source of an image</v>
      </c>
      <c r="F87" s="85" t="s">
        <v>704</v>
      </c>
      <c r="G87" s="85" t="s">
        <v>696</v>
      </c>
      <c r="H87" s="85" t="s">
        <v>16</v>
      </c>
      <c r="I87" s="85" t="s">
        <v>60</v>
      </c>
    </row>
    <row r="88" spans="1:9" ht="13">
      <c r="A88" s="85">
        <v>3</v>
      </c>
      <c r="B88" s="85">
        <v>7</v>
      </c>
      <c r="C88" s="85" t="s">
        <v>694</v>
      </c>
      <c r="D88" s="85">
        <v>3</v>
      </c>
      <c r="E88" s="85" t="str">
        <f t="shared" si="0"/>
        <v>7::Using media – Gaining support for a cause::3::- Critique digital content for credibility</v>
      </c>
      <c r="F88" s="85" t="s">
        <v>705</v>
      </c>
      <c r="G88" s="85" t="s">
        <v>696</v>
      </c>
      <c r="H88" s="85" t="s">
        <v>16</v>
      </c>
      <c r="I88" s="85" t="s">
        <v>60</v>
      </c>
    </row>
    <row r="89" spans="1:9" ht="13">
      <c r="A89" s="85">
        <v>3</v>
      </c>
      <c r="B89" s="85">
        <v>7</v>
      </c>
      <c r="C89" s="85" t="s">
        <v>694</v>
      </c>
      <c r="D89" s="85">
        <v>3</v>
      </c>
      <c r="E89" s="85" t="str">
        <f t="shared" si="0"/>
        <v>7::Using media – Gaining support for a cause::3::- Apply techniques in order to identify whether or not a source is credible</v>
      </c>
      <c r="F89" s="85" t="s">
        <v>706</v>
      </c>
      <c r="G89" s="85" t="s">
        <v>696</v>
      </c>
      <c r="H89" s="85" t="s">
        <v>16</v>
      </c>
      <c r="I89" s="85" t="s">
        <v>60</v>
      </c>
    </row>
    <row r="90" spans="1:9" ht="13">
      <c r="A90" s="85">
        <v>3</v>
      </c>
      <c r="B90" s="85">
        <v>7</v>
      </c>
      <c r="C90" s="85" t="s">
        <v>694</v>
      </c>
      <c r="D90" s="85">
        <v>4</v>
      </c>
      <c r="E90" s="85" t="str">
        <f t="shared" si="0"/>
        <v>7::Using media – Gaining support for a cause::4::- Apply referencing techniques and understand the concept of plagiarism</v>
      </c>
      <c r="F90" s="85" t="s">
        <v>707</v>
      </c>
      <c r="G90" s="85" t="s">
        <v>696</v>
      </c>
      <c r="H90" s="85" t="s">
        <v>16</v>
      </c>
      <c r="I90" s="85" t="s">
        <v>60</v>
      </c>
    </row>
    <row r="91" spans="1:9" ht="13">
      <c r="A91" s="85">
        <v>3</v>
      </c>
      <c r="B91" s="85">
        <v>7</v>
      </c>
      <c r="C91" s="85" t="s">
        <v>694</v>
      </c>
      <c r="D91" s="85">
        <v>4</v>
      </c>
      <c r="E91" s="85" t="str">
        <f t="shared" si="0"/>
        <v>7::Using media – Gaining support for a cause::4::- Evaluate online sources for use in own work</v>
      </c>
      <c r="F91" s="85" t="s">
        <v>708</v>
      </c>
      <c r="G91" s="85" t="s">
        <v>696</v>
      </c>
      <c r="H91" s="85" t="s">
        <v>709</v>
      </c>
      <c r="I91" s="85" t="s">
        <v>60</v>
      </c>
    </row>
    <row r="92" spans="1:9" ht="13">
      <c r="A92" s="85">
        <v>3</v>
      </c>
      <c r="B92" s="85">
        <v>7</v>
      </c>
      <c r="C92" s="85" t="s">
        <v>694</v>
      </c>
      <c r="D92" s="85">
        <v>5</v>
      </c>
      <c r="E92" s="85" t="str">
        <f t="shared" si="0"/>
        <v>7::Using media – Gaining support for a cause::5::- Construct a blog using appropriate software</v>
      </c>
      <c r="F92" s="85" t="s">
        <v>710</v>
      </c>
      <c r="G92" s="85" t="s">
        <v>696</v>
      </c>
      <c r="H92" s="85" t="s">
        <v>101</v>
      </c>
      <c r="I92" s="85" t="s">
        <v>60</v>
      </c>
    </row>
    <row r="93" spans="1:9" ht="13">
      <c r="A93" s="85">
        <v>3</v>
      </c>
      <c r="B93" s="85">
        <v>7</v>
      </c>
      <c r="C93" s="85" t="s">
        <v>694</v>
      </c>
      <c r="D93" s="85">
        <v>5</v>
      </c>
      <c r="E93" s="85" t="str">
        <f t="shared" si="0"/>
        <v>7::Using media – Gaining support for a cause::5::- Organise the content of the blog based on credible sources</v>
      </c>
      <c r="F93" s="85" t="s">
        <v>711</v>
      </c>
      <c r="G93" s="85" t="s">
        <v>696</v>
      </c>
      <c r="H93" s="85" t="s">
        <v>389</v>
      </c>
      <c r="I93" s="85" t="s">
        <v>60</v>
      </c>
    </row>
    <row r="94" spans="1:9" ht="13">
      <c r="A94" s="85">
        <v>3</v>
      </c>
      <c r="B94" s="85">
        <v>7</v>
      </c>
      <c r="C94" s="85" t="s">
        <v>694</v>
      </c>
      <c r="D94" s="85">
        <v>5</v>
      </c>
      <c r="E94" s="85" t="str">
        <f t="shared" si="0"/>
        <v>7::Using media – Gaining support for a cause::5::- Apply referencing techniques that credit authors appropriately</v>
      </c>
      <c r="F94" s="85" t="s">
        <v>712</v>
      </c>
      <c r="G94" s="85" t="s">
        <v>696</v>
      </c>
      <c r="H94" s="85" t="s">
        <v>16</v>
      </c>
      <c r="I94" s="85" t="s">
        <v>60</v>
      </c>
    </row>
    <row r="95" spans="1:9" ht="13">
      <c r="A95" s="85">
        <v>3</v>
      </c>
      <c r="B95" s="85">
        <v>7</v>
      </c>
      <c r="C95" s="85" t="s">
        <v>694</v>
      </c>
      <c r="D95" s="85">
        <v>5</v>
      </c>
      <c r="E95" s="85" t="str">
        <f t="shared" si="0"/>
        <v>7::Using media – Gaining support for a cause::5::- Design the layout of the content to make it suitable for the audience</v>
      </c>
      <c r="F95" s="85" t="s">
        <v>713</v>
      </c>
      <c r="G95" s="85" t="s">
        <v>696</v>
      </c>
      <c r="H95" s="85" t="s">
        <v>700</v>
      </c>
      <c r="I95" s="85" t="s">
        <v>60</v>
      </c>
    </row>
    <row r="96" spans="1:9" ht="13">
      <c r="A96" s="85">
        <v>3</v>
      </c>
      <c r="B96" s="85">
        <v>7</v>
      </c>
      <c r="C96" s="85" t="s">
        <v>694</v>
      </c>
      <c r="D96" s="85">
        <v>6</v>
      </c>
      <c r="E96" s="85" t="str">
        <f t="shared" si="0"/>
        <v>7::Using media – Gaining support for a cause::6::- Construct a blog using appropriate software</v>
      </c>
      <c r="F96" s="85" t="s">
        <v>710</v>
      </c>
      <c r="G96" s="85" t="s">
        <v>696</v>
      </c>
      <c r="H96" s="85" t="s">
        <v>389</v>
      </c>
      <c r="I96" s="85" t="s">
        <v>60</v>
      </c>
    </row>
    <row r="97" spans="1:9" ht="13">
      <c r="A97" s="85">
        <v>3</v>
      </c>
      <c r="B97" s="85">
        <v>7</v>
      </c>
      <c r="C97" s="85" t="s">
        <v>694</v>
      </c>
      <c r="D97" s="85">
        <v>6</v>
      </c>
      <c r="E97" s="85" t="str">
        <f t="shared" si="0"/>
        <v>7::Using media – Gaining support for a cause::6::- Organise the content of blog based on credible sources</v>
      </c>
      <c r="F97" s="85" t="s">
        <v>714</v>
      </c>
      <c r="G97" s="85" t="s">
        <v>696</v>
      </c>
      <c r="H97" s="85" t="s">
        <v>389</v>
      </c>
      <c r="I97" s="85" t="s">
        <v>60</v>
      </c>
    </row>
    <row r="98" spans="1:9" ht="13">
      <c r="A98" s="85">
        <v>3</v>
      </c>
      <c r="B98" s="85">
        <v>7</v>
      </c>
      <c r="C98" s="85" t="s">
        <v>694</v>
      </c>
      <c r="D98" s="85">
        <v>6</v>
      </c>
      <c r="E98" s="85" t="str">
        <f t="shared" si="0"/>
        <v>7::Using media – Gaining support for a cause::6::- Apply referencing techniques that credit authors appropriately</v>
      </c>
      <c r="F98" s="85" t="s">
        <v>712</v>
      </c>
      <c r="G98" s="85" t="s">
        <v>696</v>
      </c>
      <c r="H98" s="85" t="s">
        <v>212</v>
      </c>
      <c r="I98" s="85" t="s">
        <v>60</v>
      </c>
    </row>
    <row r="99" spans="1:9" ht="13">
      <c r="A99" s="85">
        <v>3</v>
      </c>
      <c r="B99" s="85">
        <v>7</v>
      </c>
      <c r="C99" s="85" t="s">
        <v>694</v>
      </c>
      <c r="D99" s="85">
        <v>6</v>
      </c>
      <c r="E99" s="85" t="str">
        <f t="shared" si="0"/>
        <v>7::Using media – Gaining support for a cause::6::- Design the layout of the content to make it suitable for the audience</v>
      </c>
      <c r="F99" s="85" t="s">
        <v>713</v>
      </c>
      <c r="G99" s="85" t="s">
        <v>696</v>
      </c>
      <c r="H99" s="85" t="s">
        <v>709</v>
      </c>
      <c r="I99" s="85" t="s">
        <v>60</v>
      </c>
    </row>
    <row r="100" spans="1:9" ht="13">
      <c r="A100" s="85">
        <v>3</v>
      </c>
      <c r="B100" s="85">
        <v>8</v>
      </c>
      <c r="C100" s="85" t="s">
        <v>44</v>
      </c>
      <c r="D100" s="85">
        <v>1</v>
      </c>
      <c r="E100" s="85" t="str">
        <f t="shared" si="0"/>
        <v>8::Computing systems::1::- Recall that a general-purpose computing system is a device for executing programs</v>
      </c>
      <c r="F100" s="85" t="s">
        <v>715</v>
      </c>
      <c r="G100" s="85" t="s">
        <v>716</v>
      </c>
      <c r="H100" s="85" t="s">
        <v>14</v>
      </c>
      <c r="I100" s="85" t="s">
        <v>102</v>
      </c>
    </row>
    <row r="101" spans="1:9" ht="13">
      <c r="A101" s="85">
        <v>3</v>
      </c>
      <c r="B101" s="85">
        <v>8</v>
      </c>
      <c r="C101" s="85" t="s">
        <v>44</v>
      </c>
      <c r="D101" s="85">
        <v>1</v>
      </c>
      <c r="E101" s="85" t="str">
        <f t="shared" si="0"/>
        <v>8::Computing systems::1::- Recall that a program is a sequence of instructions that specify operations that are to be performed on data</v>
      </c>
      <c r="F101" s="85" t="s">
        <v>717</v>
      </c>
      <c r="G101" s="85" t="s">
        <v>716</v>
      </c>
      <c r="H101" s="85" t="s">
        <v>20</v>
      </c>
      <c r="I101" s="85" t="s">
        <v>102</v>
      </c>
    </row>
    <row r="102" spans="1:9" ht="13">
      <c r="A102" s="85">
        <v>3</v>
      </c>
      <c r="B102" s="85">
        <v>8</v>
      </c>
      <c r="C102" s="85" t="s">
        <v>44</v>
      </c>
      <c r="D102" s="85">
        <v>1</v>
      </c>
      <c r="E102" s="85" t="str">
        <f t="shared" si="0"/>
        <v>8::Computing systems::1::- Explain the difference between a general-purpose computing system and a purpose-built device</v>
      </c>
      <c r="F102" s="85" t="s">
        <v>718</v>
      </c>
      <c r="G102" s="85" t="s">
        <v>716</v>
      </c>
      <c r="H102" s="85" t="s">
        <v>14</v>
      </c>
      <c r="I102" s="85" t="s">
        <v>102</v>
      </c>
    </row>
    <row r="103" spans="1:9" ht="13">
      <c r="A103" s="85">
        <v>3</v>
      </c>
      <c r="B103" s="85">
        <v>8</v>
      </c>
      <c r="C103" s="85" t="s">
        <v>44</v>
      </c>
      <c r="D103" s="85">
        <v>2</v>
      </c>
      <c r="E103" s="85" t="str">
        <f t="shared" si="0"/>
        <v>8::Computing systems::2::- Describe the function of the hardware components used in computing systems</v>
      </c>
      <c r="F103" s="85" t="s">
        <v>719</v>
      </c>
      <c r="G103" s="85" t="s">
        <v>716</v>
      </c>
      <c r="H103" s="85" t="s">
        <v>14</v>
      </c>
      <c r="I103" s="85" t="s">
        <v>102</v>
      </c>
    </row>
    <row r="104" spans="1:9" ht="13">
      <c r="A104" s="85">
        <v>3</v>
      </c>
      <c r="B104" s="85">
        <v>8</v>
      </c>
      <c r="C104" s="85" t="s">
        <v>44</v>
      </c>
      <c r="D104" s="85">
        <v>2</v>
      </c>
      <c r="E104" s="85" t="str">
        <f t="shared" si="0"/>
        <v>8::Computing systems::2::- Describe how the hardware components used in computing systems work together in order to execute programs</v>
      </c>
      <c r="F104" s="85" t="s">
        <v>720</v>
      </c>
      <c r="G104" s="85" t="s">
        <v>716</v>
      </c>
      <c r="H104" s="85" t="s">
        <v>502</v>
      </c>
      <c r="I104" s="85" t="s">
        <v>102</v>
      </c>
    </row>
    <row r="105" spans="1:9" ht="13">
      <c r="A105" s="85">
        <v>3</v>
      </c>
      <c r="B105" s="85">
        <v>8</v>
      </c>
      <c r="C105" s="85" t="s">
        <v>44</v>
      </c>
      <c r="D105" s="85">
        <v>2</v>
      </c>
      <c r="E105" s="85" t="str">
        <f t="shared" si="0"/>
        <v>8::Computing systems::2::- Recall that all computing systems, regardless of form, have a similar structure (‘architecture’)</v>
      </c>
      <c r="F105" s="85" t="s">
        <v>721</v>
      </c>
      <c r="G105" s="85" t="s">
        <v>716</v>
      </c>
      <c r="H105" s="85" t="s">
        <v>14</v>
      </c>
      <c r="I105" s="85" t="s">
        <v>102</v>
      </c>
    </row>
    <row r="106" spans="1:9" ht="13">
      <c r="A106" s="85">
        <v>3</v>
      </c>
      <c r="B106" s="85">
        <v>8</v>
      </c>
      <c r="C106" s="85" t="s">
        <v>44</v>
      </c>
      <c r="D106" s="85">
        <v>3</v>
      </c>
      <c r="E106" s="85" t="str">
        <f t="shared" si="0"/>
        <v>8::Computing systems::3::- Analyse how the hardware components used in computing systems work together in order to execute programs</v>
      </c>
      <c r="F106" s="85" t="s">
        <v>722</v>
      </c>
      <c r="G106" s="85" t="s">
        <v>716</v>
      </c>
      <c r="H106" s="85" t="s">
        <v>14</v>
      </c>
      <c r="I106" s="85" t="s">
        <v>102</v>
      </c>
    </row>
    <row r="107" spans="1:9" ht="13">
      <c r="A107" s="85">
        <v>3</v>
      </c>
      <c r="B107" s="85">
        <v>8</v>
      </c>
      <c r="C107" s="85" t="s">
        <v>44</v>
      </c>
      <c r="D107" s="85">
        <v>3</v>
      </c>
      <c r="E107" s="85" t="str">
        <f t="shared" si="0"/>
        <v>8::Computing systems::3::- Define what an operating system is, and recall its role in controlling program execution</v>
      </c>
      <c r="F107" s="85" t="s">
        <v>723</v>
      </c>
      <c r="G107" s="85" t="s">
        <v>716</v>
      </c>
      <c r="H107" s="85" t="s">
        <v>14</v>
      </c>
      <c r="I107" s="85" t="s">
        <v>102</v>
      </c>
    </row>
    <row r="108" spans="1:9" ht="13">
      <c r="A108" s="85">
        <v>3</v>
      </c>
      <c r="B108" s="85">
        <v>8</v>
      </c>
      <c r="C108" s="85" t="s">
        <v>44</v>
      </c>
      <c r="D108" s="85">
        <v>4</v>
      </c>
      <c r="E108" s="85" t="str">
        <f t="shared" si="0"/>
        <v>8::Computing systems::4::- Describe the NOT, AND, and OR logical operators, and how they are used to form logical expressions</v>
      </c>
      <c r="F108" s="85" t="s">
        <v>724</v>
      </c>
      <c r="G108" s="85" t="s">
        <v>716</v>
      </c>
      <c r="H108" s="85" t="s">
        <v>14</v>
      </c>
      <c r="I108" s="85" t="s">
        <v>102</v>
      </c>
    </row>
    <row r="109" spans="1:9" ht="13">
      <c r="A109" s="85">
        <v>3</v>
      </c>
      <c r="B109" s="85">
        <v>8</v>
      </c>
      <c r="C109" s="85" t="s">
        <v>44</v>
      </c>
      <c r="D109" s="85">
        <v>4</v>
      </c>
      <c r="E109" s="85" t="str">
        <f t="shared" si="0"/>
        <v>8::Computing systems::4::- Use logic gates to construct logic circuits, and associate these with logical operators and expressions</v>
      </c>
      <c r="F109" s="85" t="s">
        <v>725</v>
      </c>
      <c r="G109" s="85" t="s">
        <v>716</v>
      </c>
      <c r="H109" s="85" t="s">
        <v>14</v>
      </c>
      <c r="I109" s="85" t="s">
        <v>102</v>
      </c>
    </row>
    <row r="110" spans="1:9" ht="13">
      <c r="A110" s="85">
        <v>3</v>
      </c>
      <c r="B110" s="85">
        <v>8</v>
      </c>
      <c r="C110" s="85" t="s">
        <v>44</v>
      </c>
      <c r="D110" s="85">
        <v>4</v>
      </c>
      <c r="E110" s="85" t="str">
        <f t="shared" si="0"/>
        <v>8::Computing systems::4::- Describe how hardware is built out of increasingly complex logic circuits</v>
      </c>
      <c r="F110" s="85" t="s">
        <v>726</v>
      </c>
      <c r="G110" s="85" t="s">
        <v>716</v>
      </c>
      <c r="H110" s="85" t="s">
        <v>14</v>
      </c>
      <c r="I110" s="85" t="s">
        <v>102</v>
      </c>
    </row>
    <row r="111" spans="1:9" ht="13">
      <c r="A111" s="85">
        <v>3</v>
      </c>
      <c r="B111" s="85">
        <v>8</v>
      </c>
      <c r="C111" s="85" t="s">
        <v>44</v>
      </c>
      <c r="D111" s="85">
        <v>4</v>
      </c>
      <c r="E111" s="85" t="str">
        <f t="shared" si="0"/>
        <v>8::Computing systems::4::- Recall that, since hardware is built out of logic circuits, data and instructions alike need to be represented using binary digits</v>
      </c>
      <c r="F111" s="85" t="s">
        <v>727</v>
      </c>
      <c r="G111" s="85" t="s">
        <v>716</v>
      </c>
      <c r="H111" s="85" t="s">
        <v>728</v>
      </c>
      <c r="I111" s="85" t="s">
        <v>102</v>
      </c>
    </row>
    <row r="112" spans="1:9" ht="13">
      <c r="A112" s="85">
        <v>3</v>
      </c>
      <c r="B112" s="85">
        <v>8</v>
      </c>
      <c r="C112" s="85" t="s">
        <v>44</v>
      </c>
      <c r="D112" s="85">
        <v>5</v>
      </c>
      <c r="E112" s="85" t="str">
        <f t="shared" si="0"/>
        <v>8::Computing systems::5::- Provide broad definitions of ‘artificial intelligence’ and ‘machine learning’</v>
      </c>
      <c r="F112" s="85" t="s">
        <v>729</v>
      </c>
      <c r="G112" s="85" t="s">
        <v>716</v>
      </c>
      <c r="H112" s="85" t="s">
        <v>85</v>
      </c>
      <c r="I112" s="85" t="s">
        <v>102</v>
      </c>
    </row>
    <row r="113" spans="1:9" ht="13">
      <c r="A113" s="85">
        <v>3</v>
      </c>
      <c r="B113" s="85">
        <v>8</v>
      </c>
      <c r="C113" s="85" t="s">
        <v>44</v>
      </c>
      <c r="D113" s="85">
        <v>5</v>
      </c>
      <c r="E113" s="85" t="str">
        <f t="shared" si="0"/>
        <v>8::Computing systems::5::- Identify examples of artificial intelligence and machine learning in the real world</v>
      </c>
      <c r="F113" s="85" t="s">
        <v>730</v>
      </c>
      <c r="G113" s="85" t="s">
        <v>716</v>
      </c>
      <c r="H113" s="85" t="s">
        <v>85</v>
      </c>
      <c r="I113" s="85" t="s">
        <v>102</v>
      </c>
    </row>
    <row r="114" spans="1:9" ht="13">
      <c r="A114" s="85">
        <v>3</v>
      </c>
      <c r="B114" s="85">
        <v>8</v>
      </c>
      <c r="C114" s="85" t="s">
        <v>44</v>
      </c>
      <c r="D114" s="85">
        <v>5</v>
      </c>
      <c r="E114" s="85" t="str">
        <f t="shared" si="0"/>
        <v>8::Computing systems::5::- Describe the steps involved in training machines to perform tasks (gathering data, training, testing)</v>
      </c>
      <c r="F114" s="85" t="s">
        <v>731</v>
      </c>
      <c r="G114" s="85" t="s">
        <v>716</v>
      </c>
      <c r="H114" s="85" t="s">
        <v>85</v>
      </c>
      <c r="I114" s="85" t="s">
        <v>102</v>
      </c>
    </row>
    <row r="115" spans="1:9" ht="13">
      <c r="A115" s="85">
        <v>3</v>
      </c>
      <c r="B115" s="85">
        <v>8</v>
      </c>
      <c r="C115" s="85" t="s">
        <v>44</v>
      </c>
      <c r="D115" s="85">
        <v>5</v>
      </c>
      <c r="E115" s="85" t="str">
        <f t="shared" si="0"/>
        <v>8::Computing systems::5::- Describe how machine learning differs from traditional programming</v>
      </c>
      <c r="F115" s="85" t="s">
        <v>732</v>
      </c>
      <c r="G115" s="85" t="s">
        <v>716</v>
      </c>
      <c r="H115" s="85" t="s">
        <v>502</v>
      </c>
      <c r="I115" s="85" t="s">
        <v>102</v>
      </c>
    </row>
    <row r="116" spans="1:9" ht="13">
      <c r="A116" s="85">
        <v>3</v>
      </c>
      <c r="B116" s="85">
        <v>8</v>
      </c>
      <c r="C116" s="85" t="s">
        <v>44</v>
      </c>
      <c r="D116" s="85">
        <v>5</v>
      </c>
      <c r="E116" s="85" t="str">
        <f t="shared" si="0"/>
        <v>8::Computing systems::5::- Associate the use of artificial intelligence with moral dilemmas</v>
      </c>
      <c r="F116" s="85" t="s">
        <v>733</v>
      </c>
      <c r="G116" s="85" t="s">
        <v>716</v>
      </c>
      <c r="H116" s="85" t="s">
        <v>85</v>
      </c>
      <c r="I116" s="85" t="s">
        <v>102</v>
      </c>
    </row>
    <row r="117" spans="1:9" ht="13">
      <c r="A117" s="85">
        <v>3</v>
      </c>
      <c r="B117" s="85">
        <v>8</v>
      </c>
      <c r="C117" s="85" t="s">
        <v>44</v>
      </c>
      <c r="D117" s="85">
        <v>6</v>
      </c>
      <c r="E117" s="85" t="str">
        <f t="shared" si="0"/>
        <v>8::Computing systems::6::- Explain the implications of sharing program code</v>
      </c>
      <c r="F117" s="85" t="s">
        <v>734</v>
      </c>
      <c r="G117" s="85" t="s">
        <v>716</v>
      </c>
      <c r="H117" s="85" t="s">
        <v>735</v>
      </c>
      <c r="I117" s="85" t="s">
        <v>102</v>
      </c>
    </row>
    <row r="118" spans="1:9" ht="13">
      <c r="A118" s="85">
        <v>3</v>
      </c>
      <c r="B118" s="85">
        <v>8</v>
      </c>
      <c r="C118" s="85" t="s">
        <v>736</v>
      </c>
      <c r="D118" s="85">
        <v>1</v>
      </c>
      <c r="E118" s="85" t="str">
        <f t="shared" si="0"/>
        <v>8::Developing for the web::1::- Describe what HTML is</v>
      </c>
      <c r="F118" s="85" t="s">
        <v>737</v>
      </c>
      <c r="G118" s="85">
        <v>3.8</v>
      </c>
      <c r="H118" s="85" t="s">
        <v>20</v>
      </c>
      <c r="I118" s="85" t="s">
        <v>102</v>
      </c>
    </row>
    <row r="119" spans="1:9" ht="13">
      <c r="A119" s="85">
        <v>3</v>
      </c>
      <c r="B119" s="85">
        <v>8</v>
      </c>
      <c r="C119" s="85" t="s">
        <v>736</v>
      </c>
      <c r="D119" s="85">
        <v>1</v>
      </c>
      <c r="E119" s="85" t="str">
        <f t="shared" si="0"/>
        <v>8::Developing for the web::1::- Use HTML to structure static web pages</v>
      </c>
      <c r="F119" s="85" t="s">
        <v>738</v>
      </c>
      <c r="G119" s="85">
        <v>3.8</v>
      </c>
      <c r="H119" s="85" t="s">
        <v>739</v>
      </c>
      <c r="I119" s="85" t="s">
        <v>102</v>
      </c>
    </row>
    <row r="120" spans="1:9" ht="13">
      <c r="A120" s="85">
        <v>3</v>
      </c>
      <c r="B120" s="85">
        <v>8</v>
      </c>
      <c r="C120" s="85" t="s">
        <v>736</v>
      </c>
      <c r="D120" s="85">
        <v>1</v>
      </c>
      <c r="E120" s="85" t="str">
        <f t="shared" si="0"/>
        <v>8::Developing for the web::1::- Modify HTML tags using inline styling to improve the appearance of web pages</v>
      </c>
      <c r="F120" s="85" t="s">
        <v>740</v>
      </c>
      <c r="G120" s="85">
        <v>3.8</v>
      </c>
      <c r="H120" s="85" t="s">
        <v>741</v>
      </c>
      <c r="I120" s="85" t="s">
        <v>102</v>
      </c>
    </row>
    <row r="121" spans="1:9" ht="13">
      <c r="A121" s="85">
        <v>3</v>
      </c>
      <c r="B121" s="85">
        <v>8</v>
      </c>
      <c r="C121" s="85" t="s">
        <v>736</v>
      </c>
      <c r="D121" s="85">
        <v>2</v>
      </c>
      <c r="E121" s="85" t="str">
        <f t="shared" si="0"/>
        <v>8::Developing for the web::2::- Display images within a web page</v>
      </c>
      <c r="F121" s="85" t="s">
        <v>742</v>
      </c>
      <c r="G121" s="85">
        <v>3.8</v>
      </c>
      <c r="H121" s="85" t="s">
        <v>739</v>
      </c>
      <c r="I121" s="85" t="s">
        <v>102</v>
      </c>
    </row>
    <row r="122" spans="1:9" ht="13">
      <c r="A122" s="85">
        <v>3</v>
      </c>
      <c r="B122" s="85">
        <v>8</v>
      </c>
      <c r="C122" s="85" t="s">
        <v>736</v>
      </c>
      <c r="D122" s="85">
        <v>2</v>
      </c>
      <c r="E122" s="85" t="str">
        <f t="shared" si="0"/>
        <v>8::Developing for the web::2::- Apply HTML tags to construct a web page structure from a provided design</v>
      </c>
      <c r="F122" s="85" t="s">
        <v>743</v>
      </c>
      <c r="G122" s="85">
        <v>3.8</v>
      </c>
      <c r="H122" s="85" t="s">
        <v>739</v>
      </c>
      <c r="I122" s="85" t="s">
        <v>102</v>
      </c>
    </row>
    <row r="123" spans="1:9" ht="13">
      <c r="A123" s="85">
        <v>3</v>
      </c>
      <c r="B123" s="85">
        <v>8</v>
      </c>
      <c r="C123" s="85" t="s">
        <v>736</v>
      </c>
      <c r="D123" s="85">
        <v>3</v>
      </c>
      <c r="E123" s="85" t="str">
        <f t="shared" si="0"/>
        <v>8::Developing for the web::3::- Describe what CSS is</v>
      </c>
      <c r="F123" s="85" t="s">
        <v>744</v>
      </c>
      <c r="G123" s="85">
        <v>3.8</v>
      </c>
      <c r="H123" s="85" t="s">
        <v>739</v>
      </c>
      <c r="I123" s="85" t="s">
        <v>102</v>
      </c>
    </row>
    <row r="124" spans="1:9" ht="13">
      <c r="A124" s="85">
        <v>3</v>
      </c>
      <c r="B124" s="85">
        <v>8</v>
      </c>
      <c r="C124" s="85" t="s">
        <v>736</v>
      </c>
      <c r="D124" s="85">
        <v>3</v>
      </c>
      <c r="E124" s="85" t="str">
        <f t="shared" si="0"/>
        <v>8::Developing for the web::3::- Use CSS to style static web pages</v>
      </c>
      <c r="F124" s="85" t="s">
        <v>745</v>
      </c>
      <c r="G124" s="85">
        <v>3.8</v>
      </c>
      <c r="H124" s="85" t="s">
        <v>741</v>
      </c>
      <c r="I124" s="85" t="s">
        <v>102</v>
      </c>
    </row>
    <row r="125" spans="1:9" ht="13">
      <c r="A125" s="85">
        <v>3</v>
      </c>
      <c r="B125" s="85">
        <v>8</v>
      </c>
      <c r="C125" s="85" t="s">
        <v>736</v>
      </c>
      <c r="D125" s="85">
        <v>3</v>
      </c>
      <c r="E125" s="85" t="str">
        <f t="shared" si="0"/>
        <v>8::Developing for the web::3::- Assess the benefits of using CSS to style pages instead of in-line formatting</v>
      </c>
      <c r="F125" s="85" t="s">
        <v>746</v>
      </c>
      <c r="G125" s="85">
        <v>3.8</v>
      </c>
      <c r="H125" s="85" t="s">
        <v>747</v>
      </c>
      <c r="I125" s="85" t="s">
        <v>102</v>
      </c>
    </row>
    <row r="126" spans="1:9" ht="13">
      <c r="A126" s="85">
        <v>3</v>
      </c>
      <c r="B126" s="85">
        <v>8</v>
      </c>
      <c r="C126" s="85" t="s">
        <v>736</v>
      </c>
      <c r="D126" s="85">
        <v>4</v>
      </c>
      <c r="E126" s="85" t="str">
        <f t="shared" si="0"/>
        <v>8::Developing for the web::4::- Describe what a search engine is</v>
      </c>
      <c r="F126" s="85" t="s">
        <v>748</v>
      </c>
      <c r="G126" s="85">
        <v>3.8</v>
      </c>
      <c r="H126" s="85" t="s">
        <v>271</v>
      </c>
      <c r="I126" s="85" t="s">
        <v>102</v>
      </c>
    </row>
    <row r="127" spans="1:9" ht="13">
      <c r="A127" s="85">
        <v>3</v>
      </c>
      <c r="B127" s="85">
        <v>8</v>
      </c>
      <c r="C127" s="85" t="s">
        <v>736</v>
      </c>
      <c r="D127" s="85">
        <v>4</v>
      </c>
      <c r="E127" s="85" t="str">
        <f t="shared" si="0"/>
        <v>8::Developing for the web::4::- Explain how search engines ‘crawl’ through the World Wide Web and how they select and rank results</v>
      </c>
      <c r="F127" s="85" t="s">
        <v>749</v>
      </c>
      <c r="G127" s="85">
        <v>3.8</v>
      </c>
      <c r="H127" s="85" t="s">
        <v>750</v>
      </c>
      <c r="I127" s="85" t="s">
        <v>102</v>
      </c>
    </row>
    <row r="128" spans="1:9" ht="13">
      <c r="A128" s="85">
        <v>3</v>
      </c>
      <c r="B128" s="85">
        <v>8</v>
      </c>
      <c r="C128" s="85" t="s">
        <v>736</v>
      </c>
      <c r="D128" s="85">
        <v>4</v>
      </c>
      <c r="E128" s="85" t="str">
        <f t="shared" si="0"/>
        <v>8::Developing for the web::4::- Analyse how search engines select and rank results when searches are made</v>
      </c>
      <c r="F128" s="85" t="s">
        <v>751</v>
      </c>
      <c r="G128" s="85">
        <v>3.8</v>
      </c>
      <c r="H128" s="85" t="s">
        <v>752</v>
      </c>
      <c r="I128" s="85" t="s">
        <v>102</v>
      </c>
    </row>
    <row r="129" spans="1:9" ht="13">
      <c r="A129" s="85">
        <v>3</v>
      </c>
      <c r="B129" s="85">
        <v>8</v>
      </c>
      <c r="C129" s="85" t="s">
        <v>736</v>
      </c>
      <c r="D129" s="85">
        <v>5</v>
      </c>
      <c r="E129" s="85" t="str">
        <f t="shared" si="0"/>
        <v>8::Developing for the web::5::- Use search technologies effectively</v>
      </c>
      <c r="F129" s="85" t="s">
        <v>753</v>
      </c>
      <c r="G129" s="85">
        <v>3.8</v>
      </c>
      <c r="H129" s="85" t="s">
        <v>454</v>
      </c>
      <c r="I129" s="85" t="s">
        <v>102</v>
      </c>
    </row>
    <row r="130" spans="1:9" ht="13">
      <c r="A130" s="85">
        <v>3</v>
      </c>
      <c r="B130" s="85">
        <v>8</v>
      </c>
      <c r="C130" s="85" t="s">
        <v>736</v>
      </c>
      <c r="D130" s="85">
        <v>5</v>
      </c>
      <c r="E130" s="85" t="str">
        <f t="shared" si="0"/>
        <v>8::Developing for the web::5::- Discuss the impact of search technologies and the issues that arise by the way they function and the way they are used</v>
      </c>
      <c r="F130" s="85" t="s">
        <v>754</v>
      </c>
      <c r="G130" s="85">
        <v>3.8</v>
      </c>
      <c r="H130" s="85" t="s">
        <v>755</v>
      </c>
      <c r="I130" s="85" t="s">
        <v>102</v>
      </c>
    </row>
    <row r="131" spans="1:9" ht="13">
      <c r="A131" s="85">
        <v>3</v>
      </c>
      <c r="B131" s="85">
        <v>8</v>
      </c>
      <c r="C131" s="85" t="s">
        <v>736</v>
      </c>
      <c r="D131" s="85">
        <v>5</v>
      </c>
      <c r="E131" s="85" t="str">
        <f t="shared" si="0"/>
        <v>8::Developing for the web::5::- Create hyperlinks to allow users to navigate between multiple web pages</v>
      </c>
      <c r="F131" s="85" t="s">
        <v>756</v>
      </c>
      <c r="G131" s="85">
        <v>3.8</v>
      </c>
      <c r="H131" s="85" t="s">
        <v>741</v>
      </c>
      <c r="I131" s="85" t="s">
        <v>102</v>
      </c>
    </row>
    <row r="132" spans="1:9" ht="13">
      <c r="A132" s="85">
        <v>3</v>
      </c>
      <c r="B132" s="85">
        <v>8</v>
      </c>
      <c r="C132" s="85" t="s">
        <v>736</v>
      </c>
      <c r="D132" s="85">
        <v>6</v>
      </c>
      <c r="E132" s="85" t="str">
        <f t="shared" si="0"/>
        <v>8::Developing for the web::6::- Implement navigation to complete a functioning website</v>
      </c>
      <c r="F132" s="85" t="s">
        <v>757</v>
      </c>
      <c r="G132" s="85">
        <v>3.8</v>
      </c>
      <c r="H132" s="85" t="s">
        <v>700</v>
      </c>
      <c r="I132" s="85" t="s">
        <v>102</v>
      </c>
    </row>
    <row r="133" spans="1:9" ht="13">
      <c r="A133" s="85">
        <v>3</v>
      </c>
      <c r="B133" s="85">
        <v>8</v>
      </c>
      <c r="C133" s="85" t="s">
        <v>736</v>
      </c>
      <c r="D133" s="85">
        <v>6</v>
      </c>
      <c r="E133" s="85" t="str">
        <f t="shared" si="0"/>
        <v>8::Developing for the web::6::- Complete summative assessment</v>
      </c>
      <c r="F133" s="85" t="s">
        <v>758</v>
      </c>
      <c r="G133" s="85">
        <v>3.8</v>
      </c>
      <c r="H133" s="85" t="s">
        <v>759</v>
      </c>
      <c r="I133" s="85" t="s">
        <v>102</v>
      </c>
    </row>
    <row r="134" spans="1:9" ht="13">
      <c r="A134" s="85">
        <v>3</v>
      </c>
      <c r="B134" s="85">
        <v>8</v>
      </c>
      <c r="C134" s="85" t="s">
        <v>760</v>
      </c>
      <c r="D134" s="85">
        <v>1</v>
      </c>
      <c r="E134" s="85" t="str">
        <f t="shared" si="0"/>
        <v>8::Introduction to Python programming::1::- Describe what algorithms and programs are and how they differ</v>
      </c>
      <c r="F134" s="85" t="s">
        <v>761</v>
      </c>
      <c r="G134" s="85" t="s">
        <v>762</v>
      </c>
      <c r="H134" s="85" t="s">
        <v>240</v>
      </c>
      <c r="I134" s="85" t="s">
        <v>102</v>
      </c>
    </row>
    <row r="135" spans="1:9" ht="13">
      <c r="A135" s="85">
        <v>3</v>
      </c>
      <c r="B135" s="85">
        <v>8</v>
      </c>
      <c r="C135" s="85" t="s">
        <v>760</v>
      </c>
      <c r="D135" s="85">
        <v>1</v>
      </c>
      <c r="E135" s="85" t="str">
        <f t="shared" si="0"/>
        <v>8::Introduction to Python programming::1::- Recall that a program written in a programming language needs to be translated in order to be executed by a machine</v>
      </c>
      <c r="F135" s="85" t="s">
        <v>763</v>
      </c>
      <c r="G135" s="85" t="s">
        <v>762</v>
      </c>
      <c r="H135" s="85" t="s">
        <v>502</v>
      </c>
      <c r="I135" s="85" t="s">
        <v>102</v>
      </c>
    </row>
    <row r="136" spans="1:9" ht="13">
      <c r="A136" s="85">
        <v>3</v>
      </c>
      <c r="B136" s="85">
        <v>8</v>
      </c>
      <c r="C136" s="85" t="s">
        <v>760</v>
      </c>
      <c r="D136" s="85">
        <v>1</v>
      </c>
      <c r="E136" s="85" t="str">
        <f t="shared" si="0"/>
        <v>8::Introduction to Python programming::1::- Write simple Python programs that display messages, assign values to variables, and receive keyboard input</v>
      </c>
      <c r="F136" s="85" t="s">
        <v>764</v>
      </c>
      <c r="G136" s="85" t="s">
        <v>762</v>
      </c>
      <c r="H136" s="85" t="s">
        <v>20</v>
      </c>
      <c r="I136" s="85" t="s">
        <v>102</v>
      </c>
    </row>
    <row r="137" spans="1:9" ht="13">
      <c r="A137" s="85">
        <v>3</v>
      </c>
      <c r="B137" s="85">
        <v>8</v>
      </c>
      <c r="C137" s="85" t="s">
        <v>760</v>
      </c>
      <c r="D137" s="85">
        <v>1</v>
      </c>
      <c r="E137" s="85" t="str">
        <f t="shared" si="0"/>
        <v>8::Introduction to Python programming::1::- Locate and correct common syntax errors</v>
      </c>
      <c r="F137" s="85" t="s">
        <v>765</v>
      </c>
      <c r="G137" s="85" t="s">
        <v>762</v>
      </c>
      <c r="H137" s="85" t="s">
        <v>20</v>
      </c>
      <c r="I137" s="85" t="s">
        <v>102</v>
      </c>
    </row>
    <row r="138" spans="1:9" ht="13">
      <c r="A138" s="85">
        <v>3</v>
      </c>
      <c r="B138" s="85">
        <v>8</v>
      </c>
      <c r="C138" s="85" t="s">
        <v>760</v>
      </c>
      <c r="D138" s="85">
        <v>2</v>
      </c>
      <c r="E138" s="85" t="str">
        <f t="shared" si="0"/>
        <v>8::Introduction to Python programming::2::- Describe the semantics of assignment statements</v>
      </c>
      <c r="F138" s="85" t="s">
        <v>766</v>
      </c>
      <c r="G138" s="85" t="s">
        <v>762</v>
      </c>
      <c r="H138" s="85" t="s">
        <v>20</v>
      </c>
      <c r="I138" s="85" t="s">
        <v>102</v>
      </c>
    </row>
    <row r="139" spans="1:9" ht="13">
      <c r="A139" s="85">
        <v>3</v>
      </c>
      <c r="B139" s="85">
        <v>8</v>
      </c>
      <c r="C139" s="85" t="s">
        <v>760</v>
      </c>
      <c r="D139" s="85">
        <v>2</v>
      </c>
      <c r="E139" s="85" t="str">
        <f t="shared" si="0"/>
        <v>8::Introduction to Python programming::2::- Use simple arithmetic expressions in assignment statements to calculate values</v>
      </c>
      <c r="F139" s="85" t="s">
        <v>767</v>
      </c>
      <c r="G139" s="85" t="s">
        <v>762</v>
      </c>
      <c r="H139" s="85" t="s">
        <v>20</v>
      </c>
      <c r="I139" s="85" t="s">
        <v>102</v>
      </c>
    </row>
    <row r="140" spans="1:9" ht="13">
      <c r="A140" s="85">
        <v>3</v>
      </c>
      <c r="B140" s="85">
        <v>8</v>
      </c>
      <c r="C140" s="85" t="s">
        <v>760</v>
      </c>
      <c r="D140" s="85">
        <v>2</v>
      </c>
      <c r="E140" s="85" t="str">
        <f t="shared" si="0"/>
        <v>8::Introduction to Python programming::2::- Receive input from the keyboard and convert it to a numerical value</v>
      </c>
      <c r="F140" s="85" t="s">
        <v>768</v>
      </c>
      <c r="G140" s="85" t="s">
        <v>762</v>
      </c>
      <c r="H140" s="85" t="s">
        <v>20</v>
      </c>
      <c r="I140" s="85" t="s">
        <v>102</v>
      </c>
    </row>
    <row r="141" spans="1:9" ht="13">
      <c r="A141" s="85">
        <v>3</v>
      </c>
      <c r="B141" s="85">
        <v>8</v>
      </c>
      <c r="C141" s="85" t="s">
        <v>760</v>
      </c>
      <c r="D141" s="85">
        <v>3</v>
      </c>
      <c r="E141" s="85" t="str">
        <f t="shared" si="0"/>
        <v>8::Introduction to Python programming::3::- Use relational operators to form logical expressions</v>
      </c>
      <c r="F141" s="85" t="s">
        <v>769</v>
      </c>
      <c r="G141" s="85" t="s">
        <v>762</v>
      </c>
      <c r="H141" s="85" t="s">
        <v>20</v>
      </c>
      <c r="I141" s="85" t="s">
        <v>102</v>
      </c>
    </row>
    <row r="142" spans="1:9" ht="13">
      <c r="A142" s="85">
        <v>3</v>
      </c>
      <c r="B142" s="85">
        <v>8</v>
      </c>
      <c r="C142" s="85" t="s">
        <v>760</v>
      </c>
      <c r="D142" s="85">
        <v>3</v>
      </c>
      <c r="E142" s="85" t="str">
        <f t="shared" si="0"/>
        <v>8::Introduction to Python programming::3::- Use binary selection (if, else statements) to control the flow of program execution</v>
      </c>
      <c r="F142" s="85" t="s">
        <v>770</v>
      </c>
      <c r="G142" s="85" t="s">
        <v>762</v>
      </c>
      <c r="H142" s="85" t="s">
        <v>20</v>
      </c>
      <c r="I142" s="85" t="s">
        <v>102</v>
      </c>
    </row>
    <row r="143" spans="1:9" ht="13">
      <c r="A143" s="85">
        <v>3</v>
      </c>
      <c r="B143" s="85">
        <v>8</v>
      </c>
      <c r="C143" s="85" t="s">
        <v>760</v>
      </c>
      <c r="D143" s="85">
        <v>3</v>
      </c>
      <c r="E143" s="85" t="str">
        <f t="shared" si="0"/>
        <v>8::Introduction to Python programming::3::- Generate and use random integers</v>
      </c>
      <c r="F143" s="85" t="s">
        <v>771</v>
      </c>
      <c r="G143" s="85" t="s">
        <v>762</v>
      </c>
      <c r="H143" s="85" t="s">
        <v>20</v>
      </c>
      <c r="I143" s="85" t="s">
        <v>102</v>
      </c>
    </row>
    <row r="144" spans="1:9" ht="13">
      <c r="A144" s="85">
        <v>3</v>
      </c>
      <c r="B144" s="85">
        <v>8</v>
      </c>
      <c r="C144" s="85" t="s">
        <v>760</v>
      </c>
      <c r="D144" s="85">
        <v>4</v>
      </c>
      <c r="E144" s="85" t="str">
        <f t="shared" si="0"/>
        <v>8::Introduction to Python programming::4::- Use multi-branch selection (if, elif, else statements) to control the flow of program execution</v>
      </c>
      <c r="F144" s="85" t="s">
        <v>772</v>
      </c>
      <c r="G144" s="85" t="s">
        <v>762</v>
      </c>
      <c r="H144" s="85" t="s">
        <v>20</v>
      </c>
      <c r="I144" s="85" t="s">
        <v>102</v>
      </c>
    </row>
    <row r="145" spans="1:9" ht="13">
      <c r="A145" s="85">
        <v>3</v>
      </c>
      <c r="B145" s="85">
        <v>8</v>
      </c>
      <c r="C145" s="85" t="s">
        <v>760</v>
      </c>
      <c r="D145" s="85">
        <v>4</v>
      </c>
      <c r="E145" s="85" t="str">
        <f t="shared" si="0"/>
        <v>8::Introduction to Python programming::4::- Describe how iteration (while statements) controls the flow of program execution</v>
      </c>
      <c r="F145" s="85" t="s">
        <v>773</v>
      </c>
      <c r="G145" s="85" t="s">
        <v>762</v>
      </c>
      <c r="H145" s="85" t="s">
        <v>20</v>
      </c>
      <c r="I145" s="85" t="s">
        <v>102</v>
      </c>
    </row>
    <row r="146" spans="1:9" ht="13">
      <c r="A146" s="85">
        <v>3</v>
      </c>
      <c r="B146" s="85">
        <v>8</v>
      </c>
      <c r="C146" s="85" t="s">
        <v>760</v>
      </c>
      <c r="D146" s="85">
        <v>5</v>
      </c>
      <c r="E146" s="85" t="str">
        <f t="shared" si="0"/>
        <v>8::Introduction to Python programming::5::- Use iteration (while loops) to control the flow of program execution</v>
      </c>
      <c r="F146" s="85" t="s">
        <v>774</v>
      </c>
      <c r="G146" s="85" t="s">
        <v>762</v>
      </c>
      <c r="H146" s="85" t="s">
        <v>20</v>
      </c>
      <c r="I146" s="85" t="s">
        <v>102</v>
      </c>
    </row>
    <row r="147" spans="1:9" ht="13">
      <c r="A147" s="85">
        <v>3</v>
      </c>
      <c r="B147" s="85">
        <v>8</v>
      </c>
      <c r="C147" s="85" t="s">
        <v>760</v>
      </c>
      <c r="D147" s="85">
        <v>5</v>
      </c>
      <c r="E147" s="85" t="str">
        <f t="shared" si="0"/>
        <v>8::Introduction to Python programming::5::- Use variables as counters in iterative programs</v>
      </c>
      <c r="F147" s="85" t="s">
        <v>775</v>
      </c>
      <c r="G147" s="85" t="s">
        <v>762</v>
      </c>
      <c r="H147" s="85" t="s">
        <v>20</v>
      </c>
      <c r="I147" s="85" t="s">
        <v>102</v>
      </c>
    </row>
    <row r="148" spans="1:9" ht="13">
      <c r="A148" s="85">
        <v>3</v>
      </c>
      <c r="B148" s="85">
        <v>8</v>
      </c>
      <c r="C148" s="85" t="s">
        <v>760</v>
      </c>
      <c r="D148" s="85">
        <v>6</v>
      </c>
      <c r="E148" s="85" t="str">
        <f t="shared" si="0"/>
        <v>8::Introduction to Python programming::6::- Combine iteration and selection to control the flow of program execution</v>
      </c>
      <c r="F148" s="85" t="s">
        <v>776</v>
      </c>
      <c r="G148" s="85" t="s">
        <v>762</v>
      </c>
      <c r="H148" s="85" t="s">
        <v>20</v>
      </c>
      <c r="I148" s="85" t="s">
        <v>102</v>
      </c>
    </row>
    <row r="149" spans="1:9" ht="13">
      <c r="A149" s="85">
        <v>3</v>
      </c>
      <c r="B149" s="85">
        <v>8</v>
      </c>
      <c r="C149" s="85" t="s">
        <v>760</v>
      </c>
      <c r="D149" s="85">
        <v>6</v>
      </c>
      <c r="E149" s="85" t="str">
        <f t="shared" si="0"/>
        <v>8::Introduction to Python programming::6::- Use Boolean variables as flags</v>
      </c>
      <c r="F149" s="85" t="s">
        <v>777</v>
      </c>
      <c r="G149" s="85" t="s">
        <v>762</v>
      </c>
      <c r="H149" s="85" t="s">
        <v>20</v>
      </c>
      <c r="I149" s="85" t="s">
        <v>102</v>
      </c>
    </row>
    <row r="150" spans="1:9" ht="13">
      <c r="A150" s="85">
        <v>3</v>
      </c>
      <c r="B150" s="85">
        <v>8</v>
      </c>
      <c r="C150" s="85" t="s">
        <v>778</v>
      </c>
      <c r="D150" s="85">
        <v>1</v>
      </c>
      <c r="E150" s="85" t="str">
        <f t="shared" si="0"/>
        <v>8::Media – Vector graphics::1::- Draw basic shapes (rectangle, ellipse, polygon, star) with different properties (fill and stroke, shape-specific attributes)</v>
      </c>
      <c r="F150" s="85" t="s">
        <v>779</v>
      </c>
      <c r="G150" s="85" t="s">
        <v>696</v>
      </c>
      <c r="H150" s="85" t="s">
        <v>101</v>
      </c>
      <c r="I150" s="85" t="s">
        <v>102</v>
      </c>
    </row>
    <row r="151" spans="1:9" ht="13">
      <c r="A151" s="85">
        <v>3</v>
      </c>
      <c r="B151" s="85">
        <v>8</v>
      </c>
      <c r="C151" s="85" t="s">
        <v>778</v>
      </c>
      <c r="D151" s="85">
        <v>1</v>
      </c>
      <c r="E151" s="85" t="str">
        <f t="shared" si="0"/>
        <v>8::Media – Vector graphics::1::- Manipulate individual objects (select, move, resize, rotate, duplicate, flip, z-order)</v>
      </c>
      <c r="F151" s="85" t="s">
        <v>780</v>
      </c>
      <c r="G151" s="85" t="s">
        <v>696</v>
      </c>
      <c r="H151" s="85" t="s">
        <v>101</v>
      </c>
      <c r="I151" s="85" t="s">
        <v>102</v>
      </c>
    </row>
    <row r="152" spans="1:9" ht="13">
      <c r="A152" s="85">
        <v>3</v>
      </c>
      <c r="B152" s="85">
        <v>8</v>
      </c>
      <c r="C152" s="85" t="s">
        <v>778</v>
      </c>
      <c r="D152" s="85">
        <v>2</v>
      </c>
      <c r="E152" s="85" t="str">
        <f t="shared" si="0"/>
        <v>8::Media – Vector graphics::2::- Manipulate groups of objects (select, group/ungroup, align, distribute)</v>
      </c>
      <c r="F152" s="85" t="s">
        <v>781</v>
      </c>
      <c r="G152" s="85" t="s">
        <v>696</v>
      </c>
      <c r="H152" s="85" t="s">
        <v>101</v>
      </c>
      <c r="I152" s="85" t="s">
        <v>102</v>
      </c>
    </row>
    <row r="153" spans="1:9" ht="13">
      <c r="A153" s="85">
        <v>3</v>
      </c>
      <c r="B153" s="85">
        <v>8</v>
      </c>
      <c r="C153" s="85" t="s">
        <v>778</v>
      </c>
      <c r="D153" s="85">
        <v>2</v>
      </c>
      <c r="E153" s="85" t="str">
        <f t="shared" si="0"/>
        <v>8::Media – Vector graphics::2::- Combine paths by applying operations (union, difference, intersection)</v>
      </c>
      <c r="F153" s="85" t="s">
        <v>782</v>
      </c>
      <c r="G153" s="85" t="s">
        <v>696</v>
      </c>
      <c r="H153" s="85" t="s">
        <v>101</v>
      </c>
      <c r="I153" s="85" t="s">
        <v>102</v>
      </c>
    </row>
    <row r="154" spans="1:9" ht="13">
      <c r="A154" s="85">
        <v>3</v>
      </c>
      <c r="B154" s="85">
        <v>8</v>
      </c>
      <c r="C154" s="85" t="s">
        <v>778</v>
      </c>
      <c r="D154" s="85">
        <v>3</v>
      </c>
      <c r="E154" s="85" t="str">
        <f t="shared" si="0"/>
        <v>8::Media – Vector graphics::3::- Convert objects to paths</v>
      </c>
      <c r="F154" s="85" t="s">
        <v>783</v>
      </c>
      <c r="G154" s="85" t="s">
        <v>696</v>
      </c>
      <c r="H154" s="85" t="s">
        <v>101</v>
      </c>
      <c r="I154" s="85" t="s">
        <v>102</v>
      </c>
    </row>
    <row r="155" spans="1:9" ht="13">
      <c r="A155" s="85">
        <v>3</v>
      </c>
      <c r="B155" s="85">
        <v>8</v>
      </c>
      <c r="C155" s="85" t="s">
        <v>778</v>
      </c>
      <c r="D155" s="85">
        <v>3</v>
      </c>
      <c r="E155" s="85" t="str">
        <f t="shared" si="0"/>
        <v>8::Media – Vector graphics::3::- Draw paths</v>
      </c>
      <c r="F155" s="85" t="s">
        <v>784</v>
      </c>
      <c r="G155" s="85" t="s">
        <v>696</v>
      </c>
      <c r="H155" s="85" t="s">
        <v>101</v>
      </c>
      <c r="I155" s="85" t="s">
        <v>102</v>
      </c>
    </row>
    <row r="156" spans="1:9" ht="13">
      <c r="A156" s="85">
        <v>3</v>
      </c>
      <c r="B156" s="85">
        <v>8</v>
      </c>
      <c r="C156" s="85" t="s">
        <v>778</v>
      </c>
      <c r="D156" s="85">
        <v>3</v>
      </c>
      <c r="E156" s="85" t="str">
        <f t="shared" si="0"/>
        <v>8::Media – Vector graphics::3::- Edit path nodes</v>
      </c>
      <c r="F156" s="85" t="s">
        <v>785</v>
      </c>
      <c r="G156" s="85" t="s">
        <v>696</v>
      </c>
      <c r="H156" s="85" t="s">
        <v>101</v>
      </c>
      <c r="I156" s="85" t="s">
        <v>102</v>
      </c>
    </row>
    <row r="157" spans="1:9" ht="13">
      <c r="A157" s="85">
        <v>3</v>
      </c>
      <c r="B157" s="85">
        <v>8</v>
      </c>
      <c r="C157" s="85" t="s">
        <v>778</v>
      </c>
      <c r="D157" s="85">
        <v>4</v>
      </c>
      <c r="E157" s="85" t="str">
        <f t="shared" si="0"/>
        <v>8::Media – Vector graphics::4::- Combine multiple tools and techniques to create a vector graphic design</v>
      </c>
      <c r="F157" s="85" t="s">
        <v>786</v>
      </c>
      <c r="G157" s="85" t="s">
        <v>696</v>
      </c>
      <c r="H157" s="85" t="s">
        <v>109</v>
      </c>
      <c r="I157" s="85" t="s">
        <v>102</v>
      </c>
    </row>
    <row r="158" spans="1:9" ht="13">
      <c r="A158" s="85">
        <v>3</v>
      </c>
      <c r="B158" s="85">
        <v>8</v>
      </c>
      <c r="C158" s="85" t="s">
        <v>778</v>
      </c>
      <c r="D158" s="85">
        <v>5</v>
      </c>
      <c r="E158" s="85" t="str">
        <f t="shared" si="0"/>
        <v>8::Media – Vector graphics::5::- Explain what vector graphics are</v>
      </c>
      <c r="F158" s="85" t="s">
        <v>787</v>
      </c>
      <c r="G158" s="85" t="s">
        <v>696</v>
      </c>
      <c r="H158" s="85" t="s">
        <v>212</v>
      </c>
      <c r="I158" s="85" t="s">
        <v>102</v>
      </c>
    </row>
    <row r="159" spans="1:9" ht="13">
      <c r="A159" s="85">
        <v>3</v>
      </c>
      <c r="B159" s="85">
        <v>8</v>
      </c>
      <c r="C159" s="85" t="s">
        <v>778</v>
      </c>
      <c r="D159" s="85">
        <v>5</v>
      </c>
      <c r="E159" s="85" t="str">
        <f t="shared" si="0"/>
        <v>8::Media – Vector graphics::5::- Provide examples where using vector graphics would be appropriate</v>
      </c>
      <c r="F159" s="85" t="s">
        <v>788</v>
      </c>
      <c r="G159" s="85" t="s">
        <v>696</v>
      </c>
      <c r="H159" s="85" t="s">
        <v>212</v>
      </c>
      <c r="I159" s="85" t="s">
        <v>102</v>
      </c>
    </row>
    <row r="160" spans="1:9" ht="13">
      <c r="A160" s="85">
        <v>3</v>
      </c>
      <c r="B160" s="85">
        <v>8</v>
      </c>
      <c r="C160" s="85" t="s">
        <v>778</v>
      </c>
      <c r="D160" s="85">
        <v>6</v>
      </c>
      <c r="E160" s="85" t="str">
        <f t="shared" si="0"/>
        <v>8::Media – Vector graphics::6::- Peer assess another pair’s project work</v>
      </c>
      <c r="F160" s="85" t="s">
        <v>789</v>
      </c>
      <c r="G160" s="85" t="s">
        <v>696</v>
      </c>
      <c r="H160" s="85" t="s">
        <v>12</v>
      </c>
      <c r="I160" s="85" t="s">
        <v>102</v>
      </c>
    </row>
    <row r="161" spans="1:9" ht="13">
      <c r="A161" s="85">
        <v>3</v>
      </c>
      <c r="B161" s="85">
        <v>8</v>
      </c>
      <c r="C161" s="85" t="s">
        <v>778</v>
      </c>
      <c r="D161" s="85">
        <v>6</v>
      </c>
      <c r="E161" s="85" t="str">
        <f t="shared" si="0"/>
        <v>8::Media – Vector graphics::6::- Improve your own project work based on feedback</v>
      </c>
      <c r="F161" s="85" t="s">
        <v>790</v>
      </c>
      <c r="G161" s="85" t="s">
        <v>696</v>
      </c>
      <c r="H161" s="85" t="s">
        <v>198</v>
      </c>
      <c r="I161" s="85" t="s">
        <v>102</v>
      </c>
    </row>
    <row r="162" spans="1:9" ht="13">
      <c r="A162" s="85">
        <v>3</v>
      </c>
      <c r="B162" s="85">
        <v>8</v>
      </c>
      <c r="C162" s="85" t="s">
        <v>778</v>
      </c>
      <c r="D162" s="85">
        <v>6</v>
      </c>
      <c r="E162" s="85" t="str">
        <f t="shared" si="0"/>
        <v>8::Media – Vector graphics::6::- Complete a summative assessment</v>
      </c>
      <c r="F162" s="85" t="s">
        <v>791</v>
      </c>
      <c r="G162" s="85" t="s">
        <v>696</v>
      </c>
      <c r="H162" s="85" t="s">
        <v>377</v>
      </c>
      <c r="I162" s="85" t="s">
        <v>102</v>
      </c>
    </row>
    <row r="163" spans="1:9" ht="13">
      <c r="A163" s="85">
        <v>3</v>
      </c>
      <c r="B163" s="85">
        <v>8</v>
      </c>
      <c r="C163" s="85" t="s">
        <v>792</v>
      </c>
      <c r="D163" s="85">
        <v>1</v>
      </c>
      <c r="E163" s="85" t="str">
        <f t="shared" si="0"/>
        <v>8::Mobile app development::1::- Identify when a problem needs to be broken down</v>
      </c>
      <c r="F163" s="85" t="s">
        <v>793</v>
      </c>
      <c r="G163" s="85" t="s">
        <v>794</v>
      </c>
      <c r="H163" s="85" t="s">
        <v>240</v>
      </c>
      <c r="I163" s="85" t="s">
        <v>102</v>
      </c>
    </row>
    <row r="164" spans="1:9" ht="13">
      <c r="A164" s="85">
        <v>3</v>
      </c>
      <c r="B164" s="85">
        <v>8</v>
      </c>
      <c r="C164" s="85" t="s">
        <v>792</v>
      </c>
      <c r="D164" s="85">
        <v>1</v>
      </c>
      <c r="E164" s="85" t="str">
        <f t="shared" si="0"/>
        <v>8::Mobile app development::1::- Implement and customise GUI elements to meet the needs of the user</v>
      </c>
      <c r="F164" s="85" t="s">
        <v>795</v>
      </c>
      <c r="G164" s="85" t="s">
        <v>794</v>
      </c>
      <c r="H164" s="85" t="s">
        <v>796</v>
      </c>
      <c r="I164" s="85" t="s">
        <v>102</v>
      </c>
    </row>
    <row r="165" spans="1:9" ht="13">
      <c r="A165" s="85">
        <v>3</v>
      </c>
      <c r="B165" s="85">
        <v>8</v>
      </c>
      <c r="C165" s="85" t="s">
        <v>792</v>
      </c>
      <c r="D165" s="85">
        <v>2</v>
      </c>
      <c r="E165" s="85" t="str">
        <f t="shared" si="0"/>
        <v>8::Mobile app development::2::- Recognise that events can control the flow of a program</v>
      </c>
      <c r="F165" s="85" t="s">
        <v>797</v>
      </c>
      <c r="G165" s="85" t="s">
        <v>794</v>
      </c>
      <c r="H165" s="85" t="s">
        <v>20</v>
      </c>
      <c r="I165" s="85" t="s">
        <v>102</v>
      </c>
    </row>
    <row r="166" spans="1:9" ht="13">
      <c r="A166" s="85">
        <v>3</v>
      </c>
      <c r="B166" s="85">
        <v>8</v>
      </c>
      <c r="C166" s="85" t="s">
        <v>792</v>
      </c>
      <c r="D166" s="85">
        <v>2</v>
      </c>
      <c r="E166" s="85" t="str">
        <f t="shared" si="0"/>
        <v>8::Mobile app development::2::- Use user input in an event-driven programming environment</v>
      </c>
      <c r="F166" s="85" t="s">
        <v>798</v>
      </c>
      <c r="G166" s="85" t="s">
        <v>794</v>
      </c>
      <c r="H166" s="85" t="s">
        <v>324</v>
      </c>
      <c r="I166" s="85" t="s">
        <v>102</v>
      </c>
    </row>
    <row r="167" spans="1:9" ht="13">
      <c r="A167" s="85">
        <v>3</v>
      </c>
      <c r="B167" s="85">
        <v>8</v>
      </c>
      <c r="C167" s="85" t="s">
        <v>792</v>
      </c>
      <c r="D167" s="85">
        <v>2</v>
      </c>
      <c r="E167" s="85" t="str">
        <f t="shared" si="0"/>
        <v>8::Mobile app development::2::- Use variables in an event-driven programming environment</v>
      </c>
      <c r="F167" s="85" t="s">
        <v>799</v>
      </c>
      <c r="G167" s="85" t="s">
        <v>794</v>
      </c>
      <c r="H167" s="85" t="s">
        <v>324</v>
      </c>
      <c r="I167" s="85" t="s">
        <v>102</v>
      </c>
    </row>
    <row r="168" spans="1:9" ht="13">
      <c r="A168" s="85">
        <v>3</v>
      </c>
      <c r="B168" s="85">
        <v>8</v>
      </c>
      <c r="C168" s="85" t="s">
        <v>792</v>
      </c>
      <c r="D168" s="85">
        <v>2</v>
      </c>
      <c r="E168" s="85" t="str">
        <f t="shared" si="0"/>
        <v>8::Mobile app development::2::- Develop a partially complete application to include additional functionality</v>
      </c>
      <c r="F168" s="85" t="s">
        <v>800</v>
      </c>
      <c r="G168" s="85" t="s">
        <v>794</v>
      </c>
      <c r="H168" s="85" t="s">
        <v>796</v>
      </c>
      <c r="I168" s="85" t="s">
        <v>102</v>
      </c>
    </row>
    <row r="169" spans="1:9" ht="13">
      <c r="A169" s="85">
        <v>3</v>
      </c>
      <c r="B169" s="85">
        <v>8</v>
      </c>
      <c r="C169" s="85" t="s">
        <v>792</v>
      </c>
      <c r="D169" s="85">
        <v>3</v>
      </c>
      <c r="E169" s="85" t="str">
        <f t="shared" si="0"/>
        <v>8::Mobile app development::3::- Identify and fix common coding errors</v>
      </c>
      <c r="F169" s="85" t="s">
        <v>801</v>
      </c>
      <c r="G169" s="85" t="s">
        <v>794</v>
      </c>
      <c r="H169" s="85" t="s">
        <v>324</v>
      </c>
      <c r="I169" s="85" t="s">
        <v>102</v>
      </c>
    </row>
    <row r="170" spans="1:9" ht="13">
      <c r="A170" s="85">
        <v>3</v>
      </c>
      <c r="B170" s="85">
        <v>8</v>
      </c>
      <c r="C170" s="85" t="s">
        <v>792</v>
      </c>
      <c r="D170" s="85">
        <v>3</v>
      </c>
      <c r="E170" s="85" t="str">
        <f t="shared" si="0"/>
        <v>8::Mobile app development::3::- Pass the value of a variable into an object</v>
      </c>
      <c r="F170" s="85" t="s">
        <v>802</v>
      </c>
      <c r="G170" s="85" t="s">
        <v>794</v>
      </c>
      <c r="H170" s="85" t="s">
        <v>20</v>
      </c>
      <c r="I170" s="85" t="s">
        <v>102</v>
      </c>
    </row>
    <row r="171" spans="1:9" ht="13">
      <c r="A171" s="85">
        <v>3</v>
      </c>
      <c r="B171" s="85">
        <v>8</v>
      </c>
      <c r="C171" s="85" t="s">
        <v>792</v>
      </c>
      <c r="D171" s="85">
        <v>3</v>
      </c>
      <c r="E171" s="85" t="str">
        <f t="shared" si="0"/>
        <v>8::Mobile app development::3::- Establish user needs when completing a creative project</v>
      </c>
      <c r="F171" s="85" t="s">
        <v>803</v>
      </c>
      <c r="G171" s="85" t="s">
        <v>794</v>
      </c>
      <c r="H171" s="85" t="s">
        <v>12</v>
      </c>
      <c r="I171" s="85" t="s">
        <v>102</v>
      </c>
    </row>
    <row r="172" spans="1:9" ht="13">
      <c r="A172" s="85">
        <v>3</v>
      </c>
      <c r="B172" s="85">
        <v>8</v>
      </c>
      <c r="C172" s="85" t="s">
        <v>792</v>
      </c>
      <c r="D172" s="85">
        <v>4</v>
      </c>
      <c r="E172" s="85" t="str">
        <f t="shared" si="0"/>
        <v>8::Mobile app development::4::- Apply decomposition to break down a large problem into more manageable steps</v>
      </c>
      <c r="F172" s="85" t="s">
        <v>804</v>
      </c>
      <c r="G172" s="85" t="s">
        <v>794</v>
      </c>
      <c r="H172" s="85" t="s">
        <v>154</v>
      </c>
      <c r="I172" s="85" t="s">
        <v>102</v>
      </c>
    </row>
    <row r="173" spans="1:9" ht="13">
      <c r="A173" s="85">
        <v>3</v>
      </c>
      <c r="B173" s="85">
        <v>8</v>
      </c>
      <c r="C173" s="85" t="s">
        <v>792</v>
      </c>
      <c r="D173" s="85">
        <v>4</v>
      </c>
      <c r="E173" s="85" t="str">
        <f t="shared" si="0"/>
        <v>8::Mobile app development::4::- Use user input in a block-based programming language</v>
      </c>
      <c r="F173" s="85" t="s">
        <v>805</v>
      </c>
      <c r="G173" s="85" t="s">
        <v>794</v>
      </c>
      <c r="H173" s="85" t="s">
        <v>324</v>
      </c>
      <c r="I173" s="85" t="s">
        <v>102</v>
      </c>
    </row>
    <row r="174" spans="1:9" ht="13">
      <c r="A174" s="85">
        <v>3</v>
      </c>
      <c r="B174" s="85">
        <v>8</v>
      </c>
      <c r="C174" s="85" t="s">
        <v>792</v>
      </c>
      <c r="D174" s="85">
        <v>4</v>
      </c>
      <c r="E174" s="85" t="str">
        <f t="shared" si="0"/>
        <v>8::Mobile app development::4::- Use a block-based programming language to create a sequence</v>
      </c>
      <c r="F174" s="85" t="s">
        <v>806</v>
      </c>
      <c r="G174" s="85" t="s">
        <v>794</v>
      </c>
      <c r="H174" s="85" t="s">
        <v>324</v>
      </c>
      <c r="I174" s="85" t="s">
        <v>102</v>
      </c>
    </row>
    <row r="175" spans="1:9" ht="13">
      <c r="A175" s="85">
        <v>3</v>
      </c>
      <c r="B175" s="85">
        <v>8</v>
      </c>
      <c r="C175" s="85" t="s">
        <v>792</v>
      </c>
      <c r="D175" s="85">
        <v>4</v>
      </c>
      <c r="E175" s="85" t="str">
        <f t="shared" si="0"/>
        <v>8::Mobile app development::4::- Use variables in a block-based programming language</v>
      </c>
      <c r="F175" s="85" t="s">
        <v>807</v>
      </c>
      <c r="G175" s="85" t="s">
        <v>794</v>
      </c>
      <c r="H175" s="85" t="s">
        <v>324</v>
      </c>
      <c r="I175" s="85" t="s">
        <v>102</v>
      </c>
    </row>
    <row r="176" spans="1:9" ht="13">
      <c r="A176" s="85">
        <v>3</v>
      </c>
      <c r="B176" s="85">
        <v>8</v>
      </c>
      <c r="C176" s="85" t="s">
        <v>792</v>
      </c>
      <c r="D176" s="85">
        <v>5</v>
      </c>
      <c r="E176" s="85" t="str">
        <f t="shared" si="0"/>
        <v>8::Mobile app development::5::- Use a block-based programming language to include sequencing and selection</v>
      </c>
      <c r="F176" s="85" t="s">
        <v>808</v>
      </c>
      <c r="G176" s="85" t="s">
        <v>794</v>
      </c>
      <c r="H176" s="85" t="s">
        <v>324</v>
      </c>
      <c r="I176" s="85" t="s">
        <v>102</v>
      </c>
    </row>
    <row r="177" spans="1:9" ht="13">
      <c r="A177" s="85">
        <v>3</v>
      </c>
      <c r="B177" s="85">
        <v>8</v>
      </c>
      <c r="C177" s="85" t="s">
        <v>792</v>
      </c>
      <c r="D177" s="85">
        <v>5</v>
      </c>
      <c r="E177" s="85" t="str">
        <f t="shared" si="0"/>
        <v>8::Mobile app development::5::- Use user input in a block-based programming language</v>
      </c>
      <c r="F177" s="85" t="s">
        <v>805</v>
      </c>
      <c r="G177" s="85" t="s">
        <v>794</v>
      </c>
      <c r="H177" s="85" t="s">
        <v>324</v>
      </c>
      <c r="I177" s="85" t="s">
        <v>102</v>
      </c>
    </row>
    <row r="178" spans="1:9" ht="13">
      <c r="A178" s="85">
        <v>3</v>
      </c>
      <c r="B178" s="85">
        <v>8</v>
      </c>
      <c r="C178" s="85" t="s">
        <v>792</v>
      </c>
      <c r="D178" s="85">
        <v>5</v>
      </c>
      <c r="E178" s="85" t="str">
        <f t="shared" si="0"/>
        <v>8::Mobile app development::5::- Use variables in a block-based programming language</v>
      </c>
      <c r="F178" s="85" t="s">
        <v>807</v>
      </c>
      <c r="G178" s="85" t="s">
        <v>794</v>
      </c>
      <c r="H178" s="85" t="s">
        <v>324</v>
      </c>
      <c r="I178" s="85" t="s">
        <v>102</v>
      </c>
    </row>
    <row r="179" spans="1:9" ht="13">
      <c r="A179" s="85">
        <v>3</v>
      </c>
      <c r="B179" s="85">
        <v>8</v>
      </c>
      <c r="C179" s="85" t="s">
        <v>792</v>
      </c>
      <c r="D179" s="85">
        <v>5</v>
      </c>
      <c r="E179" s="85" t="str">
        <f t="shared" si="0"/>
        <v>8::Mobile app development::5::- Reflect and react to user feedback</v>
      </c>
      <c r="F179" s="85" t="s">
        <v>809</v>
      </c>
      <c r="G179" s="85" t="s">
        <v>794</v>
      </c>
      <c r="H179" s="85" t="s">
        <v>169</v>
      </c>
      <c r="I179" s="85" t="s">
        <v>102</v>
      </c>
    </row>
    <row r="180" spans="1:9" ht="13">
      <c r="A180" s="85">
        <v>3</v>
      </c>
      <c r="B180" s="85">
        <v>8</v>
      </c>
      <c r="C180" s="85" t="s">
        <v>792</v>
      </c>
      <c r="D180" s="85">
        <v>6</v>
      </c>
      <c r="E180" s="85" t="str">
        <f t="shared" si="0"/>
        <v>8::Mobile app development::6::- Use a block-based programming language to include sequencing and selection</v>
      </c>
      <c r="F180" s="85" t="s">
        <v>808</v>
      </c>
      <c r="G180" s="85" t="s">
        <v>794</v>
      </c>
      <c r="H180" s="85" t="s">
        <v>324</v>
      </c>
      <c r="I180" s="85" t="s">
        <v>102</v>
      </c>
    </row>
    <row r="181" spans="1:9" ht="13">
      <c r="A181" s="85">
        <v>3</v>
      </c>
      <c r="B181" s="85">
        <v>8</v>
      </c>
      <c r="C181" s="85" t="s">
        <v>792</v>
      </c>
      <c r="D181" s="85">
        <v>6</v>
      </c>
      <c r="E181" s="85" t="str">
        <f t="shared" si="0"/>
        <v>8::Mobile app development::6::- Use user input in a block-based programming language</v>
      </c>
      <c r="F181" s="85" t="s">
        <v>805</v>
      </c>
      <c r="G181" s="85" t="s">
        <v>794</v>
      </c>
      <c r="H181" s="85" t="s">
        <v>324</v>
      </c>
      <c r="I181" s="85" t="s">
        <v>102</v>
      </c>
    </row>
    <row r="182" spans="1:9" ht="13">
      <c r="A182" s="85">
        <v>3</v>
      </c>
      <c r="B182" s="85">
        <v>8</v>
      </c>
      <c r="C182" s="85" t="s">
        <v>792</v>
      </c>
      <c r="D182" s="85">
        <v>6</v>
      </c>
      <c r="E182" s="85" t="str">
        <f t="shared" si="0"/>
        <v>8::Mobile app development::6::- Use variables in a block-based programming language</v>
      </c>
      <c r="F182" s="85" t="s">
        <v>807</v>
      </c>
      <c r="G182" s="85" t="s">
        <v>794</v>
      </c>
      <c r="H182" s="85" t="s">
        <v>324</v>
      </c>
      <c r="I182" s="85" t="s">
        <v>102</v>
      </c>
    </row>
    <row r="183" spans="1:9" ht="13">
      <c r="A183" s="85">
        <v>3</v>
      </c>
      <c r="B183" s="85">
        <v>8</v>
      </c>
      <c r="C183" s="85" t="s">
        <v>792</v>
      </c>
      <c r="D183" s="85">
        <v>6</v>
      </c>
      <c r="E183" s="85" t="str">
        <f t="shared" si="0"/>
        <v>8::Mobile app development::6::- Evaluate the success of the programming project</v>
      </c>
      <c r="F183" s="85" t="s">
        <v>810</v>
      </c>
      <c r="G183" s="85" t="s">
        <v>794</v>
      </c>
      <c r="H183" s="85" t="s">
        <v>169</v>
      </c>
      <c r="I183" s="85" t="s">
        <v>102</v>
      </c>
    </row>
    <row r="184" spans="1:9" ht="13">
      <c r="A184" s="85">
        <v>3</v>
      </c>
      <c r="B184" s="85">
        <v>8</v>
      </c>
      <c r="C184" s="85" t="s">
        <v>811</v>
      </c>
      <c r="D184" s="85">
        <v>1</v>
      </c>
      <c r="E184" s="85" t="str">
        <f t="shared" si="0"/>
        <v>8::Representations – from clay to silicon::1::- List examples of representations</v>
      </c>
      <c r="F184" s="85" t="s">
        <v>812</v>
      </c>
      <c r="G184" s="85">
        <v>3.6</v>
      </c>
      <c r="H184" s="85" t="s">
        <v>10</v>
      </c>
      <c r="I184" s="85" t="s">
        <v>102</v>
      </c>
    </row>
    <row r="185" spans="1:9" ht="13">
      <c r="A185" s="85">
        <v>3</v>
      </c>
      <c r="B185" s="85">
        <v>8</v>
      </c>
      <c r="C185" s="85" t="s">
        <v>811</v>
      </c>
      <c r="D185" s="85">
        <v>1</v>
      </c>
      <c r="E185" s="85" t="str">
        <f t="shared" si="0"/>
        <v>8::Representations – from clay to silicon::1::- Recall that representations are used to store, communicate, and process information</v>
      </c>
      <c r="F185" s="85" t="s">
        <v>813</v>
      </c>
      <c r="G185" s="85">
        <v>3.6</v>
      </c>
      <c r="H185" s="85" t="s">
        <v>10</v>
      </c>
      <c r="I185" s="85" t="s">
        <v>102</v>
      </c>
    </row>
    <row r="186" spans="1:9" ht="13">
      <c r="A186" s="85">
        <v>3</v>
      </c>
      <c r="B186" s="85">
        <v>8</v>
      </c>
      <c r="C186" s="85" t="s">
        <v>811</v>
      </c>
      <c r="D186" s="85">
        <v>1</v>
      </c>
      <c r="E186" s="85" t="str">
        <f t="shared" si="0"/>
        <v>8::Representations – from clay to silicon::1::- Provide examples of how different representations are appropriate for different tasks</v>
      </c>
      <c r="F186" s="85" t="s">
        <v>814</v>
      </c>
      <c r="G186" s="85">
        <v>3.6</v>
      </c>
      <c r="H186" s="85" t="s">
        <v>10</v>
      </c>
      <c r="I186" s="85" t="s">
        <v>102</v>
      </c>
    </row>
    <row r="187" spans="1:9" ht="13">
      <c r="A187" s="85">
        <v>3</v>
      </c>
      <c r="B187" s="85">
        <v>8</v>
      </c>
      <c r="C187" s="85" t="s">
        <v>811</v>
      </c>
      <c r="D187" s="85">
        <v>2</v>
      </c>
      <c r="E187" s="85" t="str">
        <f t="shared" si="0"/>
        <v>8::Representations – from clay to silicon::2::- Recall that characters can be represented as sequences of symbols and list examples of character coding schemes</v>
      </c>
      <c r="F187" s="85" t="s">
        <v>815</v>
      </c>
      <c r="G187" s="85">
        <v>3.6</v>
      </c>
      <c r="H187" s="85" t="s">
        <v>10</v>
      </c>
      <c r="I187" s="85" t="s">
        <v>102</v>
      </c>
    </row>
    <row r="188" spans="1:9" ht="13">
      <c r="A188" s="85">
        <v>3</v>
      </c>
      <c r="B188" s="85">
        <v>8</v>
      </c>
      <c r="C188" s="85" t="s">
        <v>811</v>
      </c>
      <c r="D188" s="85">
        <v>2</v>
      </c>
      <c r="E188" s="85" t="str">
        <f t="shared" si="0"/>
        <v>8::Representations – from clay to silicon::2::- Measure the length of a representation as the number of symbols that it contains</v>
      </c>
      <c r="F188" s="85" t="s">
        <v>816</v>
      </c>
      <c r="G188" s="85">
        <v>3.6</v>
      </c>
      <c r="H188" s="85" t="s">
        <v>10</v>
      </c>
      <c r="I188" s="85" t="s">
        <v>102</v>
      </c>
    </row>
    <row r="189" spans="1:9" ht="13">
      <c r="A189" s="85">
        <v>3</v>
      </c>
      <c r="B189" s="85">
        <v>8</v>
      </c>
      <c r="C189" s="85" t="s">
        <v>811</v>
      </c>
      <c r="D189" s="85">
        <v>2</v>
      </c>
      <c r="E189" s="85" t="str">
        <f t="shared" si="0"/>
        <v>8::Representations – from clay to silicon::2::- Provide examples of how symbols are carried on physical media</v>
      </c>
      <c r="F189" s="85" t="s">
        <v>817</v>
      </c>
      <c r="G189" s="85">
        <v>3.6</v>
      </c>
      <c r="H189" s="85" t="s">
        <v>371</v>
      </c>
      <c r="I189" s="85" t="s">
        <v>102</v>
      </c>
    </row>
    <row r="190" spans="1:9" ht="13">
      <c r="A190" s="85">
        <v>3</v>
      </c>
      <c r="B190" s="85">
        <v>8</v>
      </c>
      <c r="C190" s="85" t="s">
        <v>811</v>
      </c>
      <c r="D190" s="85">
        <v>3</v>
      </c>
      <c r="E190" s="85" t="str">
        <f t="shared" si="0"/>
        <v>8::Representations – from clay to silicon::3::- Explain what binary digits (bits) are, in terms of familiar symbols such as digits or letters</v>
      </c>
      <c r="F190" s="85" t="s">
        <v>818</v>
      </c>
      <c r="G190" s="85">
        <v>3.6</v>
      </c>
      <c r="H190" s="85" t="s">
        <v>10</v>
      </c>
      <c r="I190" s="85" t="s">
        <v>102</v>
      </c>
    </row>
    <row r="191" spans="1:9" ht="13">
      <c r="A191" s="85">
        <v>3</v>
      </c>
      <c r="B191" s="85">
        <v>8</v>
      </c>
      <c r="C191" s="85" t="s">
        <v>811</v>
      </c>
      <c r="D191" s="85">
        <v>3</v>
      </c>
      <c r="E191" s="85" t="str">
        <f t="shared" si="0"/>
        <v>8::Representations – from clay to silicon::3::- Measure the size or length of a sequence of bits as the number of binary digits that it contains</v>
      </c>
      <c r="F191" s="85" t="s">
        <v>819</v>
      </c>
      <c r="G191" s="85">
        <v>3.6</v>
      </c>
      <c r="H191" s="85" t="s">
        <v>10</v>
      </c>
      <c r="I191" s="85" t="s">
        <v>102</v>
      </c>
    </row>
    <row r="192" spans="1:9" ht="13">
      <c r="A192" s="85">
        <v>3</v>
      </c>
      <c r="B192" s="85">
        <v>8</v>
      </c>
      <c r="C192" s="85" t="s">
        <v>811</v>
      </c>
      <c r="D192" s="85">
        <v>4</v>
      </c>
      <c r="E192" s="85" t="str">
        <f t="shared" si="0"/>
        <v>8::Representations – from clay to silicon::4::- Describe how natural numbers are represented as sequences of binary digits</v>
      </c>
      <c r="F192" s="85" t="s">
        <v>820</v>
      </c>
      <c r="G192" s="85">
        <v>3.6</v>
      </c>
      <c r="H192" s="85" t="s">
        <v>10</v>
      </c>
      <c r="I192" s="85" t="s">
        <v>102</v>
      </c>
    </row>
    <row r="193" spans="1:9" ht="13">
      <c r="A193" s="85">
        <v>3</v>
      </c>
      <c r="B193" s="85">
        <v>8</v>
      </c>
      <c r="C193" s="85" t="s">
        <v>811</v>
      </c>
      <c r="D193" s="85">
        <v>4</v>
      </c>
      <c r="E193" s="85" t="str">
        <f t="shared" si="0"/>
        <v>8::Representations – from clay to silicon::4::- Convert a decimal number to binary and vice versa</v>
      </c>
      <c r="F193" s="85" t="s">
        <v>821</v>
      </c>
      <c r="G193" s="85">
        <v>3.6</v>
      </c>
      <c r="H193" s="85" t="s">
        <v>10</v>
      </c>
      <c r="I193" s="85" t="s">
        <v>102</v>
      </c>
    </row>
    <row r="194" spans="1:9" ht="13">
      <c r="A194" s="85">
        <v>3</v>
      </c>
      <c r="B194" s="85">
        <v>8</v>
      </c>
      <c r="C194" s="85" t="s">
        <v>811</v>
      </c>
      <c r="D194" s="85">
        <v>5</v>
      </c>
      <c r="E194" s="85" t="str">
        <f t="shared" si="0"/>
        <v>8::Representations – from clay to silicon::5::- Convert between different units and multiples of representation size</v>
      </c>
      <c r="F194" s="85" t="s">
        <v>822</v>
      </c>
      <c r="G194" s="85">
        <v>3.6</v>
      </c>
      <c r="H194" s="85" t="s">
        <v>10</v>
      </c>
      <c r="I194" s="85" t="s">
        <v>102</v>
      </c>
    </row>
    <row r="195" spans="1:9" ht="13">
      <c r="A195" s="85">
        <v>3</v>
      </c>
      <c r="B195" s="85">
        <v>8</v>
      </c>
      <c r="C195" s="85" t="s">
        <v>811</v>
      </c>
      <c r="D195" s="85">
        <v>5</v>
      </c>
      <c r="E195" s="85" t="str">
        <f t="shared" si="0"/>
        <v>8::Representations – from clay to silicon::5::- Provide examples of the different ways that binary digits are physically represented in digital devices</v>
      </c>
      <c r="F195" s="85" t="s">
        <v>823</v>
      </c>
      <c r="G195" s="85">
        <v>3.6</v>
      </c>
      <c r="H195" s="85" t="s">
        <v>371</v>
      </c>
      <c r="I195" s="85" t="s">
        <v>102</v>
      </c>
    </row>
    <row r="196" spans="1:9" ht="13">
      <c r="A196" s="85">
        <v>3</v>
      </c>
      <c r="B196" s="85">
        <v>8</v>
      </c>
      <c r="C196" s="85" t="s">
        <v>811</v>
      </c>
      <c r="D196" s="85">
        <v>6</v>
      </c>
      <c r="E196" s="85" t="str">
        <f t="shared" si="0"/>
        <v>8::Representations – from clay to silicon::6::- Apply all of the skills covered in this unit</v>
      </c>
      <c r="F196" s="85" t="s">
        <v>824</v>
      </c>
      <c r="G196" s="85">
        <v>3.6</v>
      </c>
      <c r="H196" s="85" t="s">
        <v>371</v>
      </c>
      <c r="I196" s="85" t="s">
        <v>102</v>
      </c>
    </row>
    <row r="197" spans="1:9" ht="13">
      <c r="A197" s="85">
        <v>3</v>
      </c>
      <c r="B197" s="85">
        <v>9</v>
      </c>
      <c r="C197" s="85" t="s">
        <v>74</v>
      </c>
      <c r="D197" s="85">
        <v>1</v>
      </c>
      <c r="E197" s="85" t="str">
        <f t="shared" si="0"/>
        <v>9::Cybersecurity::1::- Explain the difference between data and information</v>
      </c>
      <c r="F197" s="85" t="s">
        <v>632</v>
      </c>
      <c r="G197" s="85">
        <v>3.9</v>
      </c>
      <c r="H197" s="85" t="s">
        <v>10</v>
      </c>
      <c r="I197" s="85" t="s">
        <v>825</v>
      </c>
    </row>
    <row r="198" spans="1:9" ht="13">
      <c r="A198" s="85">
        <v>3</v>
      </c>
      <c r="B198" s="85">
        <v>9</v>
      </c>
      <c r="C198" s="85" t="s">
        <v>74</v>
      </c>
      <c r="D198" s="85">
        <v>1</v>
      </c>
      <c r="E198" s="85" t="str">
        <f t="shared" si="0"/>
        <v>9::Cybersecurity::1::- Critique online services in relation to data privacy</v>
      </c>
      <c r="F198" s="85" t="s">
        <v>826</v>
      </c>
      <c r="G198" s="85">
        <v>3.9</v>
      </c>
      <c r="H198" s="85" t="s">
        <v>827</v>
      </c>
      <c r="I198" s="85" t="s">
        <v>825</v>
      </c>
    </row>
    <row r="199" spans="1:9" ht="13">
      <c r="A199" s="85">
        <v>3</v>
      </c>
      <c r="B199" s="85">
        <v>9</v>
      </c>
      <c r="C199" s="85" t="s">
        <v>74</v>
      </c>
      <c r="D199" s="85">
        <v>1</v>
      </c>
      <c r="E199" s="85" t="str">
        <f t="shared" si="0"/>
        <v>9::Cybersecurity::1::- Identify what happens to data entered online</v>
      </c>
      <c r="F199" s="85" t="s">
        <v>828</v>
      </c>
      <c r="G199" s="85">
        <v>3.9</v>
      </c>
      <c r="H199" s="85" t="s">
        <v>829</v>
      </c>
      <c r="I199" s="85" t="s">
        <v>825</v>
      </c>
    </row>
    <row r="200" spans="1:9" ht="13">
      <c r="A200" s="85">
        <v>3</v>
      </c>
      <c r="B200" s="85">
        <v>9</v>
      </c>
      <c r="C200" s="85" t="s">
        <v>74</v>
      </c>
      <c r="D200" s="85">
        <v>1</v>
      </c>
      <c r="E200" s="85" t="str">
        <f t="shared" si="0"/>
        <v>9::Cybersecurity::1::- Explain the need for the Data Protection Act</v>
      </c>
      <c r="F200" s="85" t="s">
        <v>830</v>
      </c>
      <c r="G200" s="85">
        <v>3.9</v>
      </c>
      <c r="H200" s="85" t="s">
        <v>831</v>
      </c>
      <c r="I200" s="85" t="s">
        <v>825</v>
      </c>
    </row>
    <row r="201" spans="1:9" ht="13">
      <c r="A201" s="85">
        <v>3</v>
      </c>
      <c r="B201" s="85">
        <v>9</v>
      </c>
      <c r="C201" s="85" t="s">
        <v>74</v>
      </c>
      <c r="D201" s="85">
        <v>2</v>
      </c>
      <c r="E201" s="85" t="str">
        <f t="shared" si="0"/>
        <v>9::Cybersecurity::2::- Recognise how human errors pose security risks to data</v>
      </c>
      <c r="F201" s="85" t="s">
        <v>832</v>
      </c>
      <c r="G201" s="85">
        <v>3.9</v>
      </c>
      <c r="H201" s="85" t="s">
        <v>833</v>
      </c>
      <c r="I201" s="85" t="s">
        <v>825</v>
      </c>
    </row>
    <row r="202" spans="1:9" ht="13">
      <c r="A202" s="85">
        <v>3</v>
      </c>
      <c r="B202" s="85">
        <v>9</v>
      </c>
      <c r="C202" s="85" t="s">
        <v>74</v>
      </c>
      <c r="D202" s="85">
        <v>2</v>
      </c>
      <c r="E202" s="85" t="str">
        <f t="shared" si="0"/>
        <v>9::Cybersecurity::2::- Implement strategies to minimise the risk of data being compromised through human error</v>
      </c>
      <c r="F202" s="85" t="s">
        <v>834</v>
      </c>
      <c r="G202" s="85">
        <v>3.9</v>
      </c>
      <c r="H202" s="85" t="s">
        <v>833</v>
      </c>
      <c r="I202" s="85" t="s">
        <v>825</v>
      </c>
    </row>
    <row r="203" spans="1:9" ht="13">
      <c r="A203" s="85">
        <v>3</v>
      </c>
      <c r="B203" s="85">
        <v>9</v>
      </c>
      <c r="C203" s="85" t="s">
        <v>74</v>
      </c>
      <c r="D203" s="85">
        <v>3</v>
      </c>
      <c r="E203" s="85" t="str">
        <f t="shared" si="0"/>
        <v>9::Cybersecurity::3::- Define hacking in the context of cyber security</v>
      </c>
      <c r="F203" s="85" t="s">
        <v>835</v>
      </c>
      <c r="G203" s="85">
        <v>3.9</v>
      </c>
      <c r="H203" s="85" t="s">
        <v>836</v>
      </c>
      <c r="I203" s="85" t="s">
        <v>825</v>
      </c>
    </row>
    <row r="204" spans="1:9" ht="13">
      <c r="A204" s="85">
        <v>3</v>
      </c>
      <c r="B204" s="85">
        <v>9</v>
      </c>
      <c r="C204" s="85" t="s">
        <v>74</v>
      </c>
      <c r="D204" s="85">
        <v>3</v>
      </c>
      <c r="E204" s="85" t="str">
        <f t="shared" si="0"/>
        <v>9::Cybersecurity::3::- Explain how a DDoS attack can impact users of online services</v>
      </c>
      <c r="F204" s="85" t="s">
        <v>837</v>
      </c>
      <c r="G204" s="85">
        <v>3.9</v>
      </c>
      <c r="H204" s="85" t="s">
        <v>366</v>
      </c>
      <c r="I204" s="85" t="s">
        <v>825</v>
      </c>
    </row>
    <row r="205" spans="1:9" ht="13">
      <c r="A205" s="85">
        <v>3</v>
      </c>
      <c r="B205" s="85">
        <v>9</v>
      </c>
      <c r="C205" s="85" t="s">
        <v>74</v>
      </c>
      <c r="D205" s="85">
        <v>3</v>
      </c>
      <c r="E205" s="85" t="str">
        <f t="shared" si="0"/>
        <v>9::Cybersecurity::3::- Identify strategies to reduce the chance of a brute force attack being successful</v>
      </c>
      <c r="F205" s="85" t="s">
        <v>838</v>
      </c>
      <c r="G205" s="85">
        <v>3.9</v>
      </c>
      <c r="H205" s="85" t="s">
        <v>839</v>
      </c>
      <c r="I205" s="85" t="s">
        <v>825</v>
      </c>
    </row>
    <row r="206" spans="1:9" ht="13">
      <c r="A206" s="85">
        <v>3</v>
      </c>
      <c r="B206" s="85">
        <v>9</v>
      </c>
      <c r="C206" s="85" t="s">
        <v>74</v>
      </c>
      <c r="D206" s="85">
        <v>3</v>
      </c>
      <c r="E206" s="85" t="str">
        <f t="shared" si="0"/>
        <v>9::Cybersecurity::3::- Explain the need for the Computer Misuse Act</v>
      </c>
      <c r="F206" s="85" t="s">
        <v>840</v>
      </c>
      <c r="G206" s="85">
        <v>3.9</v>
      </c>
      <c r="H206" s="85" t="s">
        <v>623</v>
      </c>
      <c r="I206" s="85" t="s">
        <v>825</v>
      </c>
    </row>
    <row r="207" spans="1:9" ht="13">
      <c r="A207" s="85">
        <v>3</v>
      </c>
      <c r="B207" s="85">
        <v>9</v>
      </c>
      <c r="C207" s="85" t="s">
        <v>74</v>
      </c>
      <c r="D207" s="85">
        <v>4</v>
      </c>
      <c r="E207" s="85" t="str">
        <f t="shared" si="0"/>
        <v>9::Cybersecurity::4::- List the common malware threats</v>
      </c>
      <c r="F207" s="85" t="s">
        <v>841</v>
      </c>
      <c r="G207" s="85">
        <v>3.9</v>
      </c>
      <c r="H207" s="85" t="s">
        <v>842</v>
      </c>
      <c r="I207" s="85" t="s">
        <v>825</v>
      </c>
    </row>
    <row r="208" spans="1:9" ht="13">
      <c r="A208" s="85">
        <v>3</v>
      </c>
      <c r="B208" s="85">
        <v>9</v>
      </c>
      <c r="C208" s="85" t="s">
        <v>74</v>
      </c>
      <c r="D208" s="85">
        <v>4</v>
      </c>
      <c r="E208" s="85" t="str">
        <f t="shared" si="0"/>
        <v>9::Cybersecurity::4::- Examine how different types of malware causes problems for computer systems</v>
      </c>
      <c r="F208" s="85" t="s">
        <v>843</v>
      </c>
      <c r="G208" s="85">
        <v>3.9</v>
      </c>
      <c r="H208" s="85" t="s">
        <v>842</v>
      </c>
      <c r="I208" s="85" t="s">
        <v>825</v>
      </c>
    </row>
    <row r="209" spans="1:9" ht="13">
      <c r="A209" s="85">
        <v>3</v>
      </c>
      <c r="B209" s="85">
        <v>9</v>
      </c>
      <c r="C209" s="85" t="s">
        <v>74</v>
      </c>
      <c r="D209" s="85">
        <v>4</v>
      </c>
      <c r="E209" s="85" t="str">
        <f t="shared" si="0"/>
        <v>9::Cybersecurity::4::- Question how malicious bots can have an impact on societal issues</v>
      </c>
      <c r="F209" s="85" t="s">
        <v>844</v>
      </c>
      <c r="G209" s="85">
        <v>3.9</v>
      </c>
      <c r="H209" s="85" t="s">
        <v>16</v>
      </c>
      <c r="I209" s="85" t="s">
        <v>825</v>
      </c>
    </row>
    <row r="210" spans="1:9" ht="13">
      <c r="A210" s="85">
        <v>3</v>
      </c>
      <c r="B210" s="85">
        <v>9</v>
      </c>
      <c r="C210" s="85" t="s">
        <v>74</v>
      </c>
      <c r="D210" s="85">
        <v>5</v>
      </c>
      <c r="E210" s="85" t="str">
        <f t="shared" si="0"/>
        <v>9::Cybersecurity::5::- Compare security threats against probability and the potential impact to organisations</v>
      </c>
      <c r="F210" s="85" t="s">
        <v>845</v>
      </c>
      <c r="G210" s="85">
        <v>3.9</v>
      </c>
      <c r="H210" s="85" t="s">
        <v>623</v>
      </c>
      <c r="I210" s="85" t="s">
        <v>825</v>
      </c>
    </row>
    <row r="211" spans="1:9" ht="13">
      <c r="A211" s="85">
        <v>3</v>
      </c>
      <c r="B211" s="85">
        <v>9</v>
      </c>
      <c r="C211" s="85" t="s">
        <v>74</v>
      </c>
      <c r="D211" s="85">
        <v>5</v>
      </c>
      <c r="E211" s="85" t="str">
        <f t="shared" si="0"/>
        <v>9::Cybersecurity::5::- Explain how networks can be protected from common security threats</v>
      </c>
      <c r="F211" s="85" t="s">
        <v>846</v>
      </c>
      <c r="G211" s="85">
        <v>3.9</v>
      </c>
      <c r="H211" s="85" t="s">
        <v>353</v>
      </c>
      <c r="I211" s="85" t="s">
        <v>825</v>
      </c>
    </row>
    <row r="212" spans="1:9" ht="13">
      <c r="A212" s="85">
        <v>3</v>
      </c>
      <c r="B212" s="85">
        <v>9</v>
      </c>
      <c r="C212" s="85" t="s">
        <v>74</v>
      </c>
      <c r="D212" s="85">
        <v>6</v>
      </c>
      <c r="E212" s="85" t="str">
        <f t="shared" si="0"/>
        <v>9::Cybersecurity::6::- Identify the most effective methods to prevent cyberattacks</v>
      </c>
      <c r="F212" s="85" t="s">
        <v>847</v>
      </c>
      <c r="G212" s="85">
        <v>3.9</v>
      </c>
      <c r="H212" s="85" t="s">
        <v>615</v>
      </c>
      <c r="I212" s="85" t="s">
        <v>825</v>
      </c>
    </row>
    <row r="213" spans="1:9" ht="13">
      <c r="A213" s="85">
        <v>3</v>
      </c>
      <c r="B213" s="85">
        <v>9</v>
      </c>
      <c r="C213" s="85" t="s">
        <v>848</v>
      </c>
      <c r="D213" s="85">
        <v>1</v>
      </c>
      <c r="E213" s="85" t="str">
        <f t="shared" si="0"/>
        <v>9::Data science::1::- Define data science</v>
      </c>
      <c r="F213" s="85" t="s">
        <v>849</v>
      </c>
      <c r="G213" s="85">
        <v>3.7</v>
      </c>
      <c r="H213" s="85" t="s">
        <v>10</v>
      </c>
      <c r="I213" s="85" t="s">
        <v>102</v>
      </c>
    </row>
    <row r="214" spans="1:9" ht="13">
      <c r="A214" s="85">
        <v>3</v>
      </c>
      <c r="B214" s="85">
        <v>9</v>
      </c>
      <c r="C214" s="85" t="s">
        <v>848</v>
      </c>
      <c r="D214" s="85">
        <v>1</v>
      </c>
      <c r="E214" s="85" t="str">
        <f t="shared" si="0"/>
        <v>9::Data science::1::- Explain how visualising data can help identify patterns and trends in order to help us gain insights</v>
      </c>
      <c r="F214" s="85" t="s">
        <v>850</v>
      </c>
      <c r="G214" s="85">
        <v>3.7</v>
      </c>
      <c r="H214" s="85" t="s">
        <v>10</v>
      </c>
      <c r="I214" s="85" t="s">
        <v>102</v>
      </c>
    </row>
    <row r="215" spans="1:9" ht="13">
      <c r="A215" s="85">
        <v>3</v>
      </c>
      <c r="B215" s="85">
        <v>9</v>
      </c>
      <c r="C215" s="85" t="s">
        <v>848</v>
      </c>
      <c r="D215" s="85">
        <v>1</v>
      </c>
      <c r="E215" s="85" t="str">
        <f t="shared" si="0"/>
        <v>9::Data science::1::- Use an appropriate software tool to visualise data sets and look for patterns or trends</v>
      </c>
      <c r="F215" s="85" t="s">
        <v>851</v>
      </c>
      <c r="G215" s="85">
        <v>3.7</v>
      </c>
      <c r="H215" s="85" t="s">
        <v>223</v>
      </c>
      <c r="I215" s="85" t="s">
        <v>102</v>
      </c>
    </row>
    <row r="216" spans="1:9" ht="13">
      <c r="A216" s="85">
        <v>3</v>
      </c>
      <c r="B216" s="85">
        <v>9</v>
      </c>
      <c r="C216" s="85" t="s">
        <v>848</v>
      </c>
      <c r="D216" s="85">
        <v>2</v>
      </c>
      <c r="E216" s="85" t="str">
        <f t="shared" si="0"/>
        <v>9::Data science::2::- Recognise examples of where large data sets are used in daily life</v>
      </c>
      <c r="F216" s="85" t="s">
        <v>852</v>
      </c>
      <c r="G216" s="85">
        <v>3.7</v>
      </c>
      <c r="H216" s="85" t="s">
        <v>853</v>
      </c>
      <c r="I216" s="85" t="s">
        <v>102</v>
      </c>
    </row>
    <row r="217" spans="1:9" ht="13">
      <c r="A217" s="85">
        <v>3</v>
      </c>
      <c r="B217" s="85">
        <v>9</v>
      </c>
      <c r="C217" s="85" t="s">
        <v>848</v>
      </c>
      <c r="D217" s="85">
        <v>2</v>
      </c>
      <c r="E217" s="85" t="str">
        <f t="shared" si="0"/>
        <v>9::Data science::2::- Select criteria and use data set to investigate predictions</v>
      </c>
      <c r="F217" s="85" t="s">
        <v>854</v>
      </c>
      <c r="G217" s="85">
        <v>3.7</v>
      </c>
      <c r="H217" s="85" t="s">
        <v>319</v>
      </c>
      <c r="I217" s="85" t="s">
        <v>102</v>
      </c>
    </row>
    <row r="218" spans="1:9" ht="13">
      <c r="A218" s="85">
        <v>3</v>
      </c>
      <c r="B218" s="85">
        <v>9</v>
      </c>
      <c r="C218" s="85" t="s">
        <v>848</v>
      </c>
      <c r="D218" s="85">
        <v>2</v>
      </c>
      <c r="E218" s="85" t="str">
        <f t="shared" si="0"/>
        <v>9::Data science::2::- Evaluate findings to support arguments for or against a prediction</v>
      </c>
      <c r="F218" s="85" t="s">
        <v>855</v>
      </c>
      <c r="G218" s="85">
        <v>3.7</v>
      </c>
      <c r="H218" s="85" t="s">
        <v>319</v>
      </c>
      <c r="I218" s="85" t="s">
        <v>102</v>
      </c>
    </row>
    <row r="219" spans="1:9" ht="13">
      <c r="A219" s="85">
        <v>3</v>
      </c>
      <c r="B219" s="85">
        <v>9</v>
      </c>
      <c r="C219" s="85" t="s">
        <v>848</v>
      </c>
      <c r="D219" s="85">
        <v>3</v>
      </c>
      <c r="E219" s="85" t="str">
        <f t="shared" si="0"/>
        <v>9::Data science::3::- Define the terms ‘correlation’ and ‘outliers’ in relation to data trends</v>
      </c>
      <c r="F219" s="85" t="s">
        <v>856</v>
      </c>
      <c r="G219" s="85">
        <v>3.7</v>
      </c>
      <c r="H219" s="85" t="s">
        <v>10</v>
      </c>
      <c r="I219" s="85" t="s">
        <v>102</v>
      </c>
    </row>
    <row r="220" spans="1:9" ht="13">
      <c r="A220" s="85">
        <v>3</v>
      </c>
      <c r="B220" s="85">
        <v>9</v>
      </c>
      <c r="C220" s="85" t="s">
        <v>848</v>
      </c>
      <c r="D220" s="85">
        <v>3</v>
      </c>
      <c r="E220" s="85" t="str">
        <f t="shared" si="0"/>
        <v>9::Data science::3::- Identify the steps of the investigative cycle</v>
      </c>
      <c r="F220" s="85" t="s">
        <v>857</v>
      </c>
      <c r="G220" s="85">
        <v>3.7</v>
      </c>
      <c r="H220" s="85" t="s">
        <v>319</v>
      </c>
      <c r="I220" s="85" t="s">
        <v>102</v>
      </c>
    </row>
    <row r="221" spans="1:9" ht="13">
      <c r="A221" s="85">
        <v>3</v>
      </c>
      <c r="B221" s="85">
        <v>9</v>
      </c>
      <c r="C221" s="85" t="s">
        <v>848</v>
      </c>
      <c r="D221" s="85">
        <v>3</v>
      </c>
      <c r="E221" s="85" t="str">
        <f t="shared" si="0"/>
        <v>9::Data science::3::- Solve a problem by implementing steps of the investigative cycle on a data set</v>
      </c>
      <c r="F221" s="85" t="s">
        <v>858</v>
      </c>
      <c r="G221" s="85">
        <v>3.7</v>
      </c>
      <c r="H221" s="85" t="s">
        <v>319</v>
      </c>
      <c r="I221" s="85" t="s">
        <v>102</v>
      </c>
    </row>
    <row r="222" spans="1:9" ht="13">
      <c r="A222" s="85">
        <v>3</v>
      </c>
      <c r="B222" s="85">
        <v>9</v>
      </c>
      <c r="C222" s="85" t="s">
        <v>848</v>
      </c>
      <c r="D222" s="85">
        <v>3</v>
      </c>
      <c r="E222" s="85" t="str">
        <f t="shared" si="0"/>
        <v>9::Data science::3::- Use findings to support a recommendation</v>
      </c>
      <c r="F222" s="85" t="s">
        <v>859</v>
      </c>
      <c r="G222" s="85">
        <v>3.7</v>
      </c>
      <c r="H222" s="85" t="s">
        <v>853</v>
      </c>
      <c r="I222" s="85" t="s">
        <v>102</v>
      </c>
    </row>
    <row r="223" spans="1:9" ht="13">
      <c r="A223" s="85">
        <v>3</v>
      </c>
      <c r="B223" s="85">
        <v>9</v>
      </c>
      <c r="C223" s="85" t="s">
        <v>848</v>
      </c>
      <c r="D223" s="85">
        <v>4</v>
      </c>
      <c r="E223" s="85" t="str">
        <f t="shared" si="0"/>
        <v>9::Data science::4::- Identify the steps of the investigative cycle</v>
      </c>
      <c r="F223" s="85" t="s">
        <v>857</v>
      </c>
      <c r="G223" s="85">
        <v>3.7</v>
      </c>
      <c r="H223" s="85" t="s">
        <v>22</v>
      </c>
      <c r="I223" s="85" t="s">
        <v>102</v>
      </c>
    </row>
    <row r="224" spans="1:9" ht="13">
      <c r="A224" s="85">
        <v>3</v>
      </c>
      <c r="B224" s="85">
        <v>9</v>
      </c>
      <c r="C224" s="85" t="s">
        <v>848</v>
      </c>
      <c r="D224" s="85">
        <v>4</v>
      </c>
      <c r="E224" s="85" t="str">
        <f t="shared" si="0"/>
        <v>9::Data science::4::- Identify the data needed to answer a question defined by the learner</v>
      </c>
      <c r="F224" s="85" t="s">
        <v>860</v>
      </c>
      <c r="G224" s="85">
        <v>3.7</v>
      </c>
      <c r="H224" s="85" t="s">
        <v>319</v>
      </c>
      <c r="I224" s="85" t="s">
        <v>102</v>
      </c>
    </row>
    <row r="225" spans="1:9" ht="13">
      <c r="A225" s="85">
        <v>3</v>
      </c>
      <c r="B225" s="85">
        <v>9</v>
      </c>
      <c r="C225" s="85" t="s">
        <v>848</v>
      </c>
      <c r="D225" s="85">
        <v>4</v>
      </c>
      <c r="E225" s="85" t="str">
        <f t="shared" si="0"/>
        <v>9::Data science::4::- Create a data capture form</v>
      </c>
      <c r="F225" s="85" t="s">
        <v>861</v>
      </c>
      <c r="G225" s="85">
        <v>3.7</v>
      </c>
      <c r="H225" s="85" t="s">
        <v>212</v>
      </c>
      <c r="I225" s="85" t="s">
        <v>102</v>
      </c>
    </row>
    <row r="226" spans="1:9" ht="13">
      <c r="A226" s="85">
        <v>3</v>
      </c>
      <c r="B226" s="85">
        <v>9</v>
      </c>
      <c r="C226" s="85" t="s">
        <v>848</v>
      </c>
      <c r="D226" s="85">
        <v>5</v>
      </c>
      <c r="E226" s="85" t="str">
        <f t="shared" si="0"/>
        <v>9::Data science::5::- Describe the need for data cleansing</v>
      </c>
      <c r="F226" s="85" t="s">
        <v>862</v>
      </c>
      <c r="G226" s="85">
        <v>3.7</v>
      </c>
      <c r="H226" s="85" t="s">
        <v>223</v>
      </c>
      <c r="I226" s="85" t="s">
        <v>102</v>
      </c>
    </row>
    <row r="227" spans="1:9" ht="13">
      <c r="A227" s="85">
        <v>3</v>
      </c>
      <c r="B227" s="85">
        <v>9</v>
      </c>
      <c r="C227" s="85" t="s">
        <v>848</v>
      </c>
      <c r="D227" s="85">
        <v>5</v>
      </c>
      <c r="E227" s="85" t="str">
        <f t="shared" si="0"/>
        <v>9::Data science::5::- Apply data cleansing techniques to a data set</v>
      </c>
      <c r="F227" s="85" t="s">
        <v>863</v>
      </c>
      <c r="G227" s="85">
        <v>3.7</v>
      </c>
      <c r="H227" s="85" t="s">
        <v>10</v>
      </c>
      <c r="I227" s="85" t="s">
        <v>102</v>
      </c>
    </row>
    <row r="228" spans="1:9" ht="13">
      <c r="A228" s="85">
        <v>3</v>
      </c>
      <c r="B228" s="85">
        <v>9</v>
      </c>
      <c r="C228" s="85" t="s">
        <v>848</v>
      </c>
      <c r="D228" s="85">
        <v>5</v>
      </c>
      <c r="E228" s="85" t="str">
        <f t="shared" si="0"/>
        <v>9::Data science::5::- Visualise a data set</v>
      </c>
      <c r="F228" s="85" t="s">
        <v>864</v>
      </c>
      <c r="G228" s="85">
        <v>3.7</v>
      </c>
      <c r="H228" s="85" t="s">
        <v>223</v>
      </c>
      <c r="I228" s="85" t="s">
        <v>102</v>
      </c>
    </row>
    <row r="229" spans="1:9" ht="13">
      <c r="A229" s="85">
        <v>3</v>
      </c>
      <c r="B229" s="85">
        <v>9</v>
      </c>
      <c r="C229" s="85" t="s">
        <v>848</v>
      </c>
      <c r="D229" s="85">
        <v>6</v>
      </c>
      <c r="E229" s="85" t="str">
        <f t="shared" si="0"/>
        <v>9::Data science::6::- Visualise a data set</v>
      </c>
      <c r="F229" s="85" t="s">
        <v>864</v>
      </c>
      <c r="G229" s="85">
        <v>3.7</v>
      </c>
      <c r="H229" s="85" t="s">
        <v>212</v>
      </c>
      <c r="I229" s="85" t="s">
        <v>102</v>
      </c>
    </row>
    <row r="230" spans="1:9" ht="13">
      <c r="A230" s="85">
        <v>3</v>
      </c>
      <c r="B230" s="85">
        <v>9</v>
      </c>
      <c r="C230" s="85" t="s">
        <v>848</v>
      </c>
      <c r="D230" s="85">
        <v>6</v>
      </c>
      <c r="E230" s="85" t="str">
        <f t="shared" si="0"/>
        <v>9::Data science::6::- Analyse visualisations to identify patterns, trends, and outliers</v>
      </c>
      <c r="F230" s="85" t="s">
        <v>865</v>
      </c>
      <c r="G230" s="85">
        <v>3.7</v>
      </c>
      <c r="H230" s="85" t="s">
        <v>10</v>
      </c>
      <c r="I230" s="85" t="s">
        <v>102</v>
      </c>
    </row>
    <row r="231" spans="1:9" ht="13">
      <c r="A231" s="85">
        <v>3</v>
      </c>
      <c r="B231" s="85">
        <v>9</v>
      </c>
      <c r="C231" s="85" t="s">
        <v>848</v>
      </c>
      <c r="D231" s="85">
        <v>6</v>
      </c>
      <c r="E231" s="85" t="str">
        <f t="shared" si="0"/>
        <v>9::Data science::6::- Draw conclusions and report findings</v>
      </c>
      <c r="F231" s="85" t="s">
        <v>866</v>
      </c>
      <c r="G231" s="85">
        <v>3.7</v>
      </c>
      <c r="H231" s="85" t="s">
        <v>853</v>
      </c>
      <c r="I231" s="85" t="s">
        <v>102</v>
      </c>
    </row>
    <row r="232" spans="1:9" ht="13">
      <c r="A232" s="85">
        <v>3</v>
      </c>
      <c r="B232" s="85">
        <v>9</v>
      </c>
      <c r="C232" s="85" t="s">
        <v>867</v>
      </c>
      <c r="D232" s="85">
        <v>1</v>
      </c>
      <c r="E232" s="85" t="str">
        <f t="shared" si="0"/>
        <v>9::Media – Animations::1::- Add, delete, and move objects</v>
      </c>
      <c r="F232" s="85" t="s">
        <v>868</v>
      </c>
      <c r="G232" s="85">
        <v>3.8</v>
      </c>
      <c r="H232" s="85" t="s">
        <v>101</v>
      </c>
      <c r="I232" s="85" t="s">
        <v>102</v>
      </c>
    </row>
    <row r="233" spans="1:9" ht="13">
      <c r="A233" s="85">
        <v>3</v>
      </c>
      <c r="B233" s="85">
        <v>9</v>
      </c>
      <c r="C233" s="85" t="s">
        <v>867</v>
      </c>
      <c r="D233" s="85">
        <v>1</v>
      </c>
      <c r="E233" s="85" t="str">
        <f t="shared" si="0"/>
        <v>9::Media – Animations::1::- Scale and rotate objects</v>
      </c>
      <c r="F233" s="85" t="s">
        <v>869</v>
      </c>
      <c r="G233" s="85">
        <v>3.8</v>
      </c>
      <c r="H233" s="85" t="s">
        <v>101</v>
      </c>
      <c r="I233" s="85" t="s">
        <v>102</v>
      </c>
    </row>
    <row r="234" spans="1:9" ht="13">
      <c r="A234" s="85">
        <v>3</v>
      </c>
      <c r="B234" s="85">
        <v>9</v>
      </c>
      <c r="C234" s="85" t="s">
        <v>867</v>
      </c>
      <c r="D234" s="85">
        <v>1</v>
      </c>
      <c r="E234" s="85" t="str">
        <f t="shared" si="0"/>
        <v>9::Media – Animations::1::- Use a material to add colour to objects</v>
      </c>
      <c r="F234" s="85" t="s">
        <v>870</v>
      </c>
      <c r="G234" s="85">
        <v>3.8</v>
      </c>
      <c r="H234" s="85" t="s">
        <v>101</v>
      </c>
      <c r="I234" s="85" t="s">
        <v>102</v>
      </c>
    </row>
    <row r="235" spans="1:9" ht="13">
      <c r="A235" s="85">
        <v>3</v>
      </c>
      <c r="B235" s="85">
        <v>9</v>
      </c>
      <c r="C235" s="85" t="s">
        <v>867</v>
      </c>
      <c r="D235" s="85">
        <v>2</v>
      </c>
      <c r="E235" s="85" t="str">
        <f t="shared" si="0"/>
        <v>9::Media – Animations::2::- Add, move, and delete keyframes to make basic animations</v>
      </c>
      <c r="F235" s="85" t="s">
        <v>871</v>
      </c>
      <c r="G235" s="85">
        <v>3.8</v>
      </c>
      <c r="H235" s="85" t="s">
        <v>101</v>
      </c>
      <c r="I235" s="85" t="s">
        <v>102</v>
      </c>
    </row>
    <row r="236" spans="1:9" ht="13">
      <c r="A236" s="85">
        <v>3</v>
      </c>
      <c r="B236" s="85">
        <v>9</v>
      </c>
      <c r="C236" s="85" t="s">
        <v>867</v>
      </c>
      <c r="D236" s="85">
        <v>2</v>
      </c>
      <c r="E236" s="85" t="str">
        <f t="shared" si="0"/>
        <v>9::Media – Animations::2::- Play, pause, and move through the animation using the timeline</v>
      </c>
      <c r="F236" s="85" t="s">
        <v>872</v>
      </c>
      <c r="G236" s="85">
        <v>3.8</v>
      </c>
      <c r="H236" s="85" t="s">
        <v>101</v>
      </c>
      <c r="I236" s="85" t="s">
        <v>102</v>
      </c>
    </row>
    <row r="237" spans="1:9" ht="13">
      <c r="A237" s="85">
        <v>3</v>
      </c>
      <c r="B237" s="85">
        <v>9</v>
      </c>
      <c r="C237" s="85" t="s">
        <v>867</v>
      </c>
      <c r="D237" s="85">
        <v>2</v>
      </c>
      <c r="E237" s="85" t="str">
        <f t="shared" si="0"/>
        <v>9::Media – Animations::2::- Create useful names for objects</v>
      </c>
      <c r="F237" s="85" t="s">
        <v>873</v>
      </c>
      <c r="G237" s="85">
        <v>3.8</v>
      </c>
      <c r="H237" s="85" t="s">
        <v>101</v>
      </c>
      <c r="I237" s="85" t="s">
        <v>102</v>
      </c>
    </row>
    <row r="238" spans="1:9" ht="13">
      <c r="A238" s="85">
        <v>3</v>
      </c>
      <c r="B238" s="85">
        <v>9</v>
      </c>
      <c r="C238" s="85" t="s">
        <v>867</v>
      </c>
      <c r="D238" s="85">
        <v>2</v>
      </c>
      <c r="E238" s="85" t="str">
        <f t="shared" si="0"/>
        <v>9::Media – Animations::2::- Join multiple objects together using parenting</v>
      </c>
      <c r="F238" s="85" t="s">
        <v>874</v>
      </c>
      <c r="G238" s="85">
        <v>3.8</v>
      </c>
      <c r="H238" s="85" t="s">
        <v>101</v>
      </c>
      <c r="I238" s="85" t="s">
        <v>102</v>
      </c>
    </row>
    <row r="239" spans="1:9" ht="13">
      <c r="A239" s="85">
        <v>3</v>
      </c>
      <c r="B239" s="85">
        <v>9</v>
      </c>
      <c r="C239" s="85" t="s">
        <v>867</v>
      </c>
      <c r="D239" s="85">
        <v>3</v>
      </c>
      <c r="E239" s="85" t="str">
        <f t="shared" si="0"/>
        <v>9::Media – Animations::3::- Use edit mode and extrude</v>
      </c>
      <c r="F239" s="85" t="s">
        <v>875</v>
      </c>
      <c r="G239" s="85">
        <v>3.8</v>
      </c>
      <c r="H239" s="85" t="s">
        <v>101</v>
      </c>
      <c r="I239" s="85" t="s">
        <v>102</v>
      </c>
    </row>
    <row r="240" spans="1:9" ht="13">
      <c r="A240" s="85">
        <v>3</v>
      </c>
      <c r="B240" s="85">
        <v>9</v>
      </c>
      <c r="C240" s="85" t="s">
        <v>867</v>
      </c>
      <c r="D240" s="85">
        <v>3</v>
      </c>
      <c r="E240" s="85" t="str">
        <f t="shared" si="0"/>
        <v>9::Media – Animations::3::- Use loop cut and face editing</v>
      </c>
      <c r="F240" s="85" t="s">
        <v>876</v>
      </c>
      <c r="G240" s="85">
        <v>3.8</v>
      </c>
      <c r="H240" s="85" t="s">
        <v>101</v>
      </c>
      <c r="I240" s="85" t="s">
        <v>102</v>
      </c>
    </row>
    <row r="241" spans="1:9" ht="13">
      <c r="A241" s="85">
        <v>3</v>
      </c>
      <c r="B241" s="85">
        <v>9</v>
      </c>
      <c r="C241" s="85" t="s">
        <v>867</v>
      </c>
      <c r="D241" s="85">
        <v>3</v>
      </c>
      <c r="E241" s="85" t="str">
        <f t="shared" si="0"/>
        <v>9::Media – Animations::3::- Apply different colours to different parts of the same model</v>
      </c>
      <c r="F241" s="85" t="s">
        <v>877</v>
      </c>
      <c r="G241" s="85">
        <v>3.8</v>
      </c>
      <c r="H241" s="85" t="s">
        <v>101</v>
      </c>
      <c r="I241" s="85" t="s">
        <v>102</v>
      </c>
    </row>
    <row r="242" spans="1:9" ht="13">
      <c r="A242" s="85">
        <v>3</v>
      </c>
      <c r="B242" s="85">
        <v>9</v>
      </c>
      <c r="C242" s="85" t="s">
        <v>867</v>
      </c>
      <c r="D242" s="85">
        <v>4</v>
      </c>
      <c r="E242" s="85" t="str">
        <f t="shared" si="0"/>
        <v>9::Media – Animations::4::- Use proportional editing</v>
      </c>
      <c r="F242" s="85" t="s">
        <v>878</v>
      </c>
      <c r="G242" s="85">
        <v>3.8</v>
      </c>
      <c r="H242" s="85" t="s">
        <v>101</v>
      </c>
      <c r="I242" s="85" t="s">
        <v>102</v>
      </c>
    </row>
    <row r="243" spans="1:9" ht="13">
      <c r="A243" s="85">
        <v>3</v>
      </c>
      <c r="B243" s="85">
        <v>9</v>
      </c>
      <c r="C243" s="85" t="s">
        <v>867</v>
      </c>
      <c r="D243" s="85">
        <v>4</v>
      </c>
      <c r="E243" s="85" t="str">
        <f t="shared" si="0"/>
        <v>9::Media – Animations::4::- Use the knife tool</v>
      </c>
      <c r="F243" s="85" t="s">
        <v>879</v>
      </c>
      <c r="G243" s="85">
        <v>3.8</v>
      </c>
      <c r="H243" s="85" t="s">
        <v>101</v>
      </c>
      <c r="I243" s="85" t="s">
        <v>102</v>
      </c>
    </row>
    <row r="244" spans="1:9" ht="13">
      <c r="A244" s="85">
        <v>3</v>
      </c>
      <c r="B244" s="85">
        <v>9</v>
      </c>
      <c r="C244" s="85" t="s">
        <v>867</v>
      </c>
      <c r="D244" s="85">
        <v>4</v>
      </c>
      <c r="E244" s="85" t="str">
        <f t="shared" si="0"/>
        <v>9::Media – Animations::4::- Use subdivision</v>
      </c>
      <c r="F244" s="85" t="s">
        <v>880</v>
      </c>
      <c r="G244" s="85">
        <v>3.8</v>
      </c>
      <c r="H244" s="85" t="s">
        <v>101</v>
      </c>
      <c r="I244" s="85" t="s">
        <v>102</v>
      </c>
    </row>
    <row r="245" spans="1:9" ht="13">
      <c r="A245" s="85">
        <v>3</v>
      </c>
      <c r="B245" s="85">
        <v>9</v>
      </c>
      <c r="C245" s="85" t="s">
        <v>867</v>
      </c>
      <c r="D245" s="85">
        <v>5</v>
      </c>
      <c r="E245" s="85" t="str">
        <f t="shared" si="0"/>
        <v>9::Media – Animations::5::- Add and edit set lighting</v>
      </c>
      <c r="F245" s="85" t="s">
        <v>881</v>
      </c>
      <c r="G245" s="85">
        <v>3.8</v>
      </c>
      <c r="H245" s="85" t="s">
        <v>101</v>
      </c>
      <c r="I245" s="85" t="s">
        <v>102</v>
      </c>
    </row>
    <row r="246" spans="1:9" ht="13">
      <c r="A246" s="85">
        <v>3</v>
      </c>
      <c r="B246" s="85">
        <v>9</v>
      </c>
      <c r="C246" s="85" t="s">
        <v>867</v>
      </c>
      <c r="D246" s="85">
        <v>5</v>
      </c>
      <c r="E246" s="85" t="str">
        <f t="shared" si="0"/>
        <v>9::Media – Animations::5::- Set up the camera</v>
      </c>
      <c r="F246" s="85" t="s">
        <v>882</v>
      </c>
      <c r="G246" s="85">
        <v>3.8</v>
      </c>
      <c r="H246" s="85" t="s">
        <v>101</v>
      </c>
      <c r="I246" s="85" t="s">
        <v>102</v>
      </c>
    </row>
    <row r="247" spans="1:9" ht="13">
      <c r="A247" s="85">
        <v>3</v>
      </c>
      <c r="B247" s="85">
        <v>9</v>
      </c>
      <c r="C247" s="85" t="s">
        <v>867</v>
      </c>
      <c r="D247" s="85">
        <v>5</v>
      </c>
      <c r="E247" s="85" t="str">
        <f t="shared" si="0"/>
        <v>9::Media – Animations::5::- Compare different render modes</v>
      </c>
      <c r="F247" s="85" t="s">
        <v>883</v>
      </c>
      <c r="G247" s="85">
        <v>3.8</v>
      </c>
      <c r="H247" s="85" t="s">
        <v>101</v>
      </c>
      <c r="I247" s="85" t="s">
        <v>102</v>
      </c>
    </row>
    <row r="248" spans="1:9" ht="13">
      <c r="A248" s="85">
        <v>3</v>
      </c>
      <c r="B248" s="85">
        <v>9</v>
      </c>
      <c r="C248" s="85" t="s">
        <v>867</v>
      </c>
      <c r="D248" s="85">
        <v>6</v>
      </c>
      <c r="E248" s="85" t="str">
        <f t="shared" si="0"/>
        <v>9::Media – Animations::6::- Create a 3–10 second animation</v>
      </c>
      <c r="F248" s="85" t="s">
        <v>884</v>
      </c>
      <c r="G248" s="85">
        <v>3.8</v>
      </c>
      <c r="H248" s="85" t="s">
        <v>101</v>
      </c>
      <c r="I248" s="85" t="s">
        <v>102</v>
      </c>
    </row>
    <row r="249" spans="1:9" ht="13">
      <c r="A249" s="85">
        <v>3</v>
      </c>
      <c r="B249" s="85">
        <v>9</v>
      </c>
      <c r="C249" s="85" t="s">
        <v>867</v>
      </c>
      <c r="D249" s="85">
        <v>6</v>
      </c>
      <c r="E249" s="85" t="str">
        <f t="shared" si="0"/>
        <v>9::Media – Animations::6::- Render out the animation</v>
      </c>
      <c r="F249" s="85" t="s">
        <v>885</v>
      </c>
      <c r="G249" s="85">
        <v>3.8</v>
      </c>
      <c r="H249" s="85" t="s">
        <v>101</v>
      </c>
      <c r="I249" s="85" t="s">
        <v>102</v>
      </c>
    </row>
    <row r="250" spans="1:9" ht="13">
      <c r="A250" s="85">
        <v>3</v>
      </c>
      <c r="B250" s="85">
        <v>9</v>
      </c>
      <c r="C250" s="85" t="s">
        <v>886</v>
      </c>
      <c r="D250" s="85">
        <v>1</v>
      </c>
      <c r="E250" s="85" t="str">
        <f t="shared" si="0"/>
        <v>9::Physical computing::1::- Describe what the micro:bit is</v>
      </c>
      <c r="F250" s="85" t="s">
        <v>887</v>
      </c>
      <c r="G250" s="85" t="s">
        <v>762</v>
      </c>
      <c r="H250" s="85" t="s">
        <v>14</v>
      </c>
      <c r="I250" s="85" t="s">
        <v>102</v>
      </c>
    </row>
    <row r="251" spans="1:9" ht="13">
      <c r="A251" s="85">
        <v>3</v>
      </c>
      <c r="B251" s="85">
        <v>9</v>
      </c>
      <c r="C251" s="85" t="s">
        <v>886</v>
      </c>
      <c r="D251" s="85">
        <v>1</v>
      </c>
      <c r="E251" s="85" t="str">
        <f t="shared" si="0"/>
        <v>9::Physical computing::1::- List the micro:bit’s input and output devices</v>
      </c>
      <c r="F251" s="85" t="s">
        <v>888</v>
      </c>
      <c r="G251" s="85" t="s">
        <v>762</v>
      </c>
      <c r="H251" s="85" t="s">
        <v>14</v>
      </c>
      <c r="I251" s="85" t="s">
        <v>102</v>
      </c>
    </row>
    <row r="252" spans="1:9" ht="13">
      <c r="A252" s="85">
        <v>3</v>
      </c>
      <c r="B252" s="85">
        <v>9</v>
      </c>
      <c r="C252" s="85" t="s">
        <v>886</v>
      </c>
      <c r="D252" s="85">
        <v>1</v>
      </c>
      <c r="E252" s="85" t="str">
        <f t="shared" si="0"/>
        <v>9::Physical computing::1::- Use a development environment to write, execute, and debug a Python program for the micro:bit</v>
      </c>
      <c r="F252" s="85" t="s">
        <v>889</v>
      </c>
      <c r="G252" s="85" t="s">
        <v>762</v>
      </c>
      <c r="H252" s="85" t="s">
        <v>890</v>
      </c>
      <c r="I252" s="85" t="s">
        <v>102</v>
      </c>
    </row>
    <row r="253" spans="1:9" ht="13">
      <c r="A253" s="85">
        <v>3</v>
      </c>
      <c r="B253" s="85">
        <v>9</v>
      </c>
      <c r="C253" s="85" t="s">
        <v>886</v>
      </c>
      <c r="D253" s="85">
        <v>2</v>
      </c>
      <c r="E253" s="85" t="str">
        <f t="shared" si="0"/>
        <v>9::Physical computing::2::- Write programs that use the micro:bit’s built-in input and output devices</v>
      </c>
      <c r="F253" s="85" t="s">
        <v>891</v>
      </c>
      <c r="G253" s="85" t="s">
        <v>762</v>
      </c>
      <c r="H253" s="85" t="s">
        <v>892</v>
      </c>
      <c r="I253" s="85" t="s">
        <v>102</v>
      </c>
    </row>
    <row r="254" spans="1:9" ht="13">
      <c r="A254" s="85">
        <v>3</v>
      </c>
      <c r="B254" s="85">
        <v>9</v>
      </c>
      <c r="C254" s="85" t="s">
        <v>886</v>
      </c>
      <c r="D254" s="85">
        <v>3</v>
      </c>
      <c r="E254" s="85" t="str">
        <f t="shared" si="0"/>
        <v>9::Physical computing::3::- Write programs that use GPIO pins to generate output and receive input</v>
      </c>
      <c r="F254" s="85" t="s">
        <v>893</v>
      </c>
      <c r="G254" s="85" t="s">
        <v>762</v>
      </c>
      <c r="H254" s="85" t="s">
        <v>892</v>
      </c>
      <c r="I254" s="85" t="s">
        <v>102</v>
      </c>
    </row>
    <row r="255" spans="1:9" ht="13">
      <c r="A255" s="85">
        <v>3</v>
      </c>
      <c r="B255" s="85">
        <v>9</v>
      </c>
      <c r="C255" s="85" t="s">
        <v>886</v>
      </c>
      <c r="D255" s="85">
        <v>3</v>
      </c>
      <c r="E255" s="85" t="str">
        <f t="shared" si="0"/>
        <v>9::Physical computing::3::- Write programs that communicate with other devices by sending and receiving messages wirelessly</v>
      </c>
      <c r="F255" s="85" t="s">
        <v>894</v>
      </c>
      <c r="G255" s="85" t="s">
        <v>762</v>
      </c>
      <c r="H255" s="85" t="s">
        <v>895</v>
      </c>
      <c r="I255" s="85" t="s">
        <v>102</v>
      </c>
    </row>
    <row r="256" spans="1:9" ht="13">
      <c r="A256" s="85">
        <v>3</v>
      </c>
      <c r="B256" s="85">
        <v>9</v>
      </c>
      <c r="C256" s="85" t="s">
        <v>886</v>
      </c>
      <c r="D256" s="85">
        <v>4</v>
      </c>
      <c r="E256" s="85" t="str">
        <f t="shared" si="0"/>
        <v>9::Physical computing::4::- Design a physical computing artifact purposefully, keeping in mind the problem at hand, the needs of the audience involved, and the available resources</v>
      </c>
      <c r="F256" s="85" t="s">
        <v>896</v>
      </c>
      <c r="G256" s="85" t="s">
        <v>762</v>
      </c>
      <c r="H256" s="85" t="s">
        <v>897</v>
      </c>
      <c r="I256" s="85" t="s">
        <v>102</v>
      </c>
    </row>
    <row r="257" spans="1:9" ht="13">
      <c r="A257" s="85">
        <v>3</v>
      </c>
      <c r="B257" s="85">
        <v>9</v>
      </c>
      <c r="C257" s="85" t="s">
        <v>886</v>
      </c>
      <c r="D257" s="85">
        <v>4</v>
      </c>
      <c r="E257" s="85" t="str">
        <f t="shared" ref="E257:E292" si="1">B257&amp;"::"&amp;C257&amp;"::"&amp;D257&amp;"::"&amp;F257</f>
        <v>9::Physical computing::4::- Decompose the functionality of a physical computing system into simpler features</v>
      </c>
      <c r="F257" s="85" t="s">
        <v>898</v>
      </c>
      <c r="G257" s="85" t="s">
        <v>762</v>
      </c>
      <c r="H257" s="85" t="s">
        <v>897</v>
      </c>
      <c r="I257" s="85" t="s">
        <v>102</v>
      </c>
    </row>
    <row r="258" spans="1:9" ht="13">
      <c r="A258" s="85">
        <v>3</v>
      </c>
      <c r="B258" s="85">
        <v>9</v>
      </c>
      <c r="C258" s="85" t="s">
        <v>886</v>
      </c>
      <c r="D258" s="85">
        <v>5</v>
      </c>
      <c r="E258" s="85" t="str">
        <f t="shared" si="1"/>
        <v>9::Physical computing::5::- Implement a physical computing project, while following, revising, and refining the project plan</v>
      </c>
      <c r="F258" s="85" t="s">
        <v>899</v>
      </c>
      <c r="G258" s="85" t="s">
        <v>762</v>
      </c>
      <c r="H258" s="85" t="s">
        <v>511</v>
      </c>
      <c r="I258" s="85" t="s">
        <v>102</v>
      </c>
    </row>
    <row r="259" spans="1:9" ht="13">
      <c r="A259" s="85">
        <v>3</v>
      </c>
      <c r="B259" s="85">
        <v>9</v>
      </c>
      <c r="C259" s="85" t="s">
        <v>886</v>
      </c>
      <c r="D259" s="85">
        <v>6</v>
      </c>
      <c r="E259" s="85" t="str">
        <f t="shared" si="1"/>
        <v>9::Physical computing::6::- Implement a physical computing project, while following, revising, and refining the project plan</v>
      </c>
      <c r="F259" s="85" t="s">
        <v>899</v>
      </c>
      <c r="G259" s="85" t="s">
        <v>762</v>
      </c>
      <c r="H259" s="85" t="s">
        <v>900</v>
      </c>
      <c r="I259" s="85" t="s">
        <v>102</v>
      </c>
    </row>
    <row r="260" spans="1:9" ht="13">
      <c r="A260" s="85">
        <v>3</v>
      </c>
      <c r="B260" s="85">
        <v>9</v>
      </c>
      <c r="C260" s="85" t="s">
        <v>901</v>
      </c>
      <c r="D260" s="85">
        <v>1</v>
      </c>
      <c r="E260" s="85" t="str">
        <f t="shared" si="1"/>
        <v>9::Python programming with sequences of data::1::- Write programs that display messages, receive keyboard input, and use simple arithmetic expressions in assignment statements</v>
      </c>
      <c r="F260" s="85" t="s">
        <v>902</v>
      </c>
      <c r="G260" s="85" t="s">
        <v>762</v>
      </c>
      <c r="H260" s="85" t="s">
        <v>502</v>
      </c>
      <c r="I260" s="85" t="s">
        <v>102</v>
      </c>
    </row>
    <row r="261" spans="1:9" ht="13">
      <c r="A261" s="85">
        <v>3</v>
      </c>
      <c r="B261" s="85">
        <v>9</v>
      </c>
      <c r="C261" s="85" t="s">
        <v>901</v>
      </c>
      <c r="D261" s="85">
        <v>1</v>
      </c>
      <c r="E261" s="85" t="str">
        <f t="shared" si="1"/>
        <v>9::Python programming with sequences of data::1::- Locate and correct common syntax errors</v>
      </c>
      <c r="F261" s="85" t="s">
        <v>765</v>
      </c>
      <c r="G261" s="85" t="s">
        <v>762</v>
      </c>
      <c r="H261" s="85" t="s">
        <v>240</v>
      </c>
      <c r="I261" s="85" t="s">
        <v>102</v>
      </c>
    </row>
    <row r="262" spans="1:9" ht="13">
      <c r="A262" s="85">
        <v>3</v>
      </c>
      <c r="B262" s="85">
        <v>9</v>
      </c>
      <c r="C262" s="85" t="s">
        <v>901</v>
      </c>
      <c r="D262" s="85">
        <v>1</v>
      </c>
      <c r="E262" s="85" t="str">
        <f t="shared" si="1"/>
        <v>9::Python programming with sequences of data::1::- Create lists and access individual list items</v>
      </c>
      <c r="F262" s="85" t="s">
        <v>903</v>
      </c>
      <c r="G262" s="85" t="s">
        <v>762</v>
      </c>
      <c r="H262" s="85" t="s">
        <v>904</v>
      </c>
      <c r="I262" s="85" t="s">
        <v>102</v>
      </c>
    </row>
    <row r="263" spans="1:9" ht="13">
      <c r="A263" s="85">
        <v>3</v>
      </c>
      <c r="B263" s="85">
        <v>9</v>
      </c>
      <c r="C263" s="85" t="s">
        <v>901</v>
      </c>
      <c r="D263" s="85">
        <v>1</v>
      </c>
      <c r="E263" s="85" t="str">
        <f t="shared" si="1"/>
        <v>9::Python programming with sequences of data::1::- Use selection (**if-elif-else* statements) to control the flow of program execution</v>
      </c>
      <c r="F263" s="85" t="s">
        <v>905</v>
      </c>
      <c r="G263" s="85" t="s">
        <v>762</v>
      </c>
      <c r="H263" s="85" t="s">
        <v>20</v>
      </c>
      <c r="I263" s="85" t="s">
        <v>102</v>
      </c>
    </row>
    <row r="264" spans="1:9" ht="13">
      <c r="A264" s="85">
        <v>3</v>
      </c>
      <c r="B264" s="85">
        <v>9</v>
      </c>
      <c r="C264" s="85" t="s">
        <v>901</v>
      </c>
      <c r="D264" s="85">
        <v>2</v>
      </c>
      <c r="E264" s="85" t="str">
        <f t="shared" si="1"/>
        <v>9::Python programming with sequences of data::2::- Perform common operations on lists or individual items</v>
      </c>
      <c r="F264" s="85" t="s">
        <v>906</v>
      </c>
      <c r="G264" s="85" t="s">
        <v>762</v>
      </c>
      <c r="H264" s="85" t="s">
        <v>20</v>
      </c>
      <c r="I264" s="85" t="s">
        <v>102</v>
      </c>
    </row>
    <row r="265" spans="1:9" ht="13">
      <c r="A265" s="85">
        <v>3</v>
      </c>
      <c r="B265" s="85">
        <v>9</v>
      </c>
      <c r="C265" s="85" t="s">
        <v>901</v>
      </c>
      <c r="D265" s="85">
        <v>3</v>
      </c>
      <c r="E265" s="85" t="str">
        <f t="shared" si="1"/>
        <v>9::Python programming with sequences of data::3::- Use iteration (while statements) to control the flow of program execution</v>
      </c>
      <c r="F265" s="85" t="s">
        <v>907</v>
      </c>
      <c r="G265" s="85" t="s">
        <v>762</v>
      </c>
      <c r="H265" s="85" t="s">
        <v>240</v>
      </c>
      <c r="I265" s="85" t="s">
        <v>102</v>
      </c>
    </row>
    <row r="266" spans="1:9" ht="13">
      <c r="A266" s="85">
        <v>3</v>
      </c>
      <c r="B266" s="85">
        <v>9</v>
      </c>
      <c r="C266" s="85" t="s">
        <v>901</v>
      </c>
      <c r="D266" s="85">
        <v>3</v>
      </c>
      <c r="E266" s="85" t="str">
        <f t="shared" si="1"/>
        <v>9::Python programming with sequences of data::3::- Perform common operations on lists or individual items</v>
      </c>
      <c r="F266" s="85" t="s">
        <v>906</v>
      </c>
      <c r="G266" s="85" t="s">
        <v>762</v>
      </c>
      <c r="H266" s="85" t="s">
        <v>904</v>
      </c>
      <c r="I266" s="85" t="s">
        <v>102</v>
      </c>
    </row>
    <row r="267" spans="1:9" ht="13">
      <c r="A267" s="85">
        <v>3</v>
      </c>
      <c r="B267" s="85">
        <v>9</v>
      </c>
      <c r="C267" s="85" t="s">
        <v>901</v>
      </c>
      <c r="D267" s="85">
        <v>3</v>
      </c>
      <c r="E267" s="85" t="str">
        <f t="shared" si="1"/>
        <v>9::Python programming with sequences of data::3::- Perform common operations on strings or individual characters</v>
      </c>
      <c r="F267" s="85" t="s">
        <v>908</v>
      </c>
      <c r="G267" s="85" t="s">
        <v>762</v>
      </c>
      <c r="H267" s="85" t="s">
        <v>20</v>
      </c>
      <c r="I267" s="85" t="s">
        <v>102</v>
      </c>
    </row>
    <row r="268" spans="1:9" ht="13">
      <c r="A268" s="85">
        <v>3</v>
      </c>
      <c r="B268" s="85">
        <v>9</v>
      </c>
      <c r="C268" s="85" t="s">
        <v>901</v>
      </c>
      <c r="D268" s="85">
        <v>4</v>
      </c>
      <c r="E268" s="85" t="str">
        <f t="shared" si="1"/>
        <v>9::Python programming with sequences of data::4::- Use iteration (for statements) to iterate over list items</v>
      </c>
      <c r="F268" s="85" t="s">
        <v>909</v>
      </c>
      <c r="G268" s="85" t="s">
        <v>762</v>
      </c>
      <c r="H268" s="85" t="s">
        <v>904</v>
      </c>
      <c r="I268" s="85" t="s">
        <v>102</v>
      </c>
    </row>
    <row r="269" spans="1:9" ht="13">
      <c r="A269" s="85">
        <v>3</v>
      </c>
      <c r="B269" s="85">
        <v>9</v>
      </c>
      <c r="C269" s="85" t="s">
        <v>901</v>
      </c>
      <c r="D269" s="85">
        <v>4</v>
      </c>
      <c r="E269" s="85" t="str">
        <f t="shared" si="1"/>
        <v>9::Python programming with sequences of data::4::- Perform common operations on lists or strings</v>
      </c>
      <c r="F269" s="85" t="s">
        <v>910</v>
      </c>
      <c r="G269" s="85" t="s">
        <v>762</v>
      </c>
      <c r="H269" s="85" t="s">
        <v>911</v>
      </c>
      <c r="I269" s="85" t="s">
        <v>102</v>
      </c>
    </row>
    <row r="270" spans="1:9" ht="13">
      <c r="A270" s="85">
        <v>3</v>
      </c>
      <c r="B270" s="85">
        <v>9</v>
      </c>
      <c r="C270" s="85" t="s">
        <v>901</v>
      </c>
      <c r="D270" s="85">
        <v>5</v>
      </c>
      <c r="E270" s="85" t="str">
        <f t="shared" si="1"/>
        <v>9::Python programming with sequences of data::5::- Use iteration (for loops) to iterate over lists and strings</v>
      </c>
      <c r="F270" s="85" t="s">
        <v>912</v>
      </c>
      <c r="G270" s="85" t="s">
        <v>762</v>
      </c>
      <c r="H270" s="85" t="s">
        <v>904</v>
      </c>
      <c r="I270" s="85" t="s">
        <v>102</v>
      </c>
    </row>
    <row r="271" spans="1:9" ht="13">
      <c r="A271" s="85">
        <v>3</v>
      </c>
      <c r="B271" s="85">
        <v>9</v>
      </c>
      <c r="C271" s="85" t="s">
        <v>901</v>
      </c>
      <c r="D271" s="85">
        <v>5</v>
      </c>
      <c r="E271" s="85" t="str">
        <f t="shared" si="1"/>
        <v>9::Python programming with sequences of data::5::- Use variables to keep track of counts and sums</v>
      </c>
      <c r="F271" s="85" t="s">
        <v>913</v>
      </c>
      <c r="G271" s="85" t="s">
        <v>762</v>
      </c>
      <c r="H271" s="85" t="s">
        <v>904</v>
      </c>
      <c r="I271" s="85" t="s">
        <v>102</v>
      </c>
    </row>
    <row r="272" spans="1:9" ht="13">
      <c r="A272" s="85">
        <v>3</v>
      </c>
      <c r="B272" s="85">
        <v>9</v>
      </c>
      <c r="C272" s="85" t="s">
        <v>901</v>
      </c>
      <c r="D272" s="85">
        <v>5</v>
      </c>
      <c r="E272" s="85" t="str">
        <f t="shared" si="1"/>
        <v>9::Python programming with sequences of data::5::- Combine key programming language features to develop solutions to meaningful problems</v>
      </c>
      <c r="F272" s="85" t="s">
        <v>914</v>
      </c>
      <c r="G272" s="85" t="s">
        <v>762</v>
      </c>
      <c r="H272" s="85" t="s">
        <v>904</v>
      </c>
      <c r="I272" s="85" t="s">
        <v>102</v>
      </c>
    </row>
    <row r="273" spans="1:9" ht="13">
      <c r="A273" s="85">
        <v>3</v>
      </c>
      <c r="B273" s="85">
        <v>9</v>
      </c>
      <c r="C273" s="85" t="s">
        <v>901</v>
      </c>
      <c r="D273" s="85">
        <v>6</v>
      </c>
      <c r="E273" s="85" t="str">
        <f t="shared" si="1"/>
        <v>9::Python programming with sequences of data::6::- Apply all of the skills covered in this unit</v>
      </c>
      <c r="F273" s="85" t="s">
        <v>824</v>
      </c>
      <c r="G273" s="85" t="s">
        <v>762</v>
      </c>
      <c r="H273" s="85" t="s">
        <v>900</v>
      </c>
      <c r="I273" s="85" t="s">
        <v>102</v>
      </c>
    </row>
    <row r="274" spans="1:9" ht="13">
      <c r="A274" s="85">
        <v>3</v>
      </c>
      <c r="B274" s="85">
        <v>9</v>
      </c>
      <c r="C274" s="85" t="s">
        <v>915</v>
      </c>
      <c r="D274" s="85">
        <v>1</v>
      </c>
      <c r="E274" s="85" t="str">
        <f t="shared" si="1"/>
        <v>9::Representations – going audiovisual::1::- Describe how digital images are composed of individual elements</v>
      </c>
      <c r="F274" s="85" t="s">
        <v>916</v>
      </c>
      <c r="G274" s="85">
        <v>3.6</v>
      </c>
      <c r="H274" s="85" t="s">
        <v>10</v>
      </c>
      <c r="I274" s="85" t="s">
        <v>102</v>
      </c>
    </row>
    <row r="275" spans="1:9" ht="13">
      <c r="A275" s="85">
        <v>3</v>
      </c>
      <c r="B275" s="85">
        <v>9</v>
      </c>
      <c r="C275" s="85" t="s">
        <v>915</v>
      </c>
      <c r="D275" s="85">
        <v>1</v>
      </c>
      <c r="E275" s="85" t="str">
        <f t="shared" si="1"/>
        <v>9::Representations – going audiovisual::1::- Recall that the colour of each picture element is represented using a sequence of binary digits</v>
      </c>
      <c r="F275" s="85" t="s">
        <v>917</v>
      </c>
      <c r="G275" s="85">
        <v>3.6</v>
      </c>
      <c r="H275" s="85" t="s">
        <v>10</v>
      </c>
      <c r="I275" s="85" t="s">
        <v>102</v>
      </c>
    </row>
    <row r="276" spans="1:9" ht="13">
      <c r="A276" s="85">
        <v>3</v>
      </c>
      <c r="B276" s="85">
        <v>9</v>
      </c>
      <c r="C276" s="85" t="s">
        <v>915</v>
      </c>
      <c r="D276" s="85">
        <v>1</v>
      </c>
      <c r="E276" s="85" t="str">
        <f t="shared" si="1"/>
        <v>9::Representations – going audiovisual::1::- Define key terms such as ‘pixels’, ‘resolution’, and ‘colour depth’</v>
      </c>
      <c r="F276" s="85" t="s">
        <v>918</v>
      </c>
      <c r="G276" s="85">
        <v>3.6</v>
      </c>
      <c r="H276" s="85" t="s">
        <v>10</v>
      </c>
      <c r="I276" s="85" t="s">
        <v>102</v>
      </c>
    </row>
    <row r="277" spans="1:9" ht="13">
      <c r="A277" s="85">
        <v>3</v>
      </c>
      <c r="B277" s="85">
        <v>9</v>
      </c>
      <c r="C277" s="85" t="s">
        <v>915</v>
      </c>
      <c r="D277" s="85">
        <v>1</v>
      </c>
      <c r="E277" s="85" t="str">
        <f t="shared" si="1"/>
        <v>9::Representations – going audiovisual::1::- Describe how an image can be represented as a sequence of bits</v>
      </c>
      <c r="F277" s="85" t="s">
        <v>919</v>
      </c>
      <c r="G277" s="85">
        <v>3.6</v>
      </c>
      <c r="H277" s="85" t="s">
        <v>10</v>
      </c>
      <c r="I277" s="85" t="s">
        <v>102</v>
      </c>
    </row>
    <row r="278" spans="1:9" ht="13">
      <c r="A278" s="85">
        <v>3</v>
      </c>
      <c r="B278" s="85">
        <v>9</v>
      </c>
      <c r="C278" s="85" t="s">
        <v>915</v>
      </c>
      <c r="D278" s="85">
        <v>2</v>
      </c>
      <c r="E278" s="85" t="str">
        <f t="shared" si="1"/>
        <v>9::Representations – going audiovisual::2::- Describe how colour can be represented as a mixture of red, green, and blue, with a sequence of bits representing each colour’s intensity</v>
      </c>
      <c r="F278" s="85" t="s">
        <v>920</v>
      </c>
      <c r="G278" s="85">
        <v>3.6</v>
      </c>
      <c r="H278" s="85" t="s">
        <v>10</v>
      </c>
      <c r="I278" s="85" t="s">
        <v>102</v>
      </c>
    </row>
    <row r="279" spans="1:9" ht="13">
      <c r="A279" s="85">
        <v>3</v>
      </c>
      <c r="B279" s="85">
        <v>9</v>
      </c>
      <c r="C279" s="85" t="s">
        <v>915</v>
      </c>
      <c r="D279" s="85">
        <v>2</v>
      </c>
      <c r="E279" s="85" t="str">
        <f t="shared" si="1"/>
        <v>9::Representations – going audiovisual::2::- Compute the representation size of a digital image, by multiplying resolution (number of pixels) with colour depth (number of bits used to represent the colour of individual pixels)</v>
      </c>
      <c r="F279" s="85" t="s">
        <v>921</v>
      </c>
      <c r="G279" s="85">
        <v>3.6</v>
      </c>
      <c r="H279" s="85" t="s">
        <v>10</v>
      </c>
      <c r="I279" s="85" t="s">
        <v>102</v>
      </c>
    </row>
    <row r="280" spans="1:9" ht="13">
      <c r="A280" s="85">
        <v>3</v>
      </c>
      <c r="B280" s="85">
        <v>9</v>
      </c>
      <c r="C280" s="85" t="s">
        <v>915</v>
      </c>
      <c r="D280" s="85">
        <v>2</v>
      </c>
      <c r="E280" s="85" t="str">
        <f t="shared" si="1"/>
        <v>9::Representations – going audiovisual::2::- Describe the trade-off between representation size and perceived quality for digital images</v>
      </c>
      <c r="F280" s="85" t="s">
        <v>922</v>
      </c>
      <c r="G280" s="85">
        <v>3.6</v>
      </c>
      <c r="H280" s="85" t="s">
        <v>10</v>
      </c>
      <c r="I280" s="85" t="s">
        <v>102</v>
      </c>
    </row>
    <row r="281" spans="1:9" ht="13">
      <c r="A281" s="85">
        <v>3</v>
      </c>
      <c r="B281" s="85">
        <v>9</v>
      </c>
      <c r="C281" s="85" t="s">
        <v>915</v>
      </c>
      <c r="D281" s="85">
        <v>3</v>
      </c>
      <c r="E281" s="85" t="str">
        <f t="shared" si="1"/>
        <v>9::Representations – going audiovisual::3::- Perform basic image editing tasks using appropriate software and combine them in order to solve more complex problems requiring image manipulation</v>
      </c>
      <c r="F281" s="85" t="s">
        <v>923</v>
      </c>
      <c r="G281" s="85">
        <v>3.6</v>
      </c>
      <c r="H281" s="85" t="s">
        <v>461</v>
      </c>
      <c r="I281" s="85" t="s">
        <v>102</v>
      </c>
    </row>
    <row r="282" spans="1:9" ht="13">
      <c r="A282" s="85">
        <v>3</v>
      </c>
      <c r="B282" s="85">
        <v>9</v>
      </c>
      <c r="C282" s="85" t="s">
        <v>915</v>
      </c>
      <c r="D282" s="85">
        <v>3</v>
      </c>
      <c r="E282" s="85" t="str">
        <f t="shared" si="1"/>
        <v>9::Representations – going audiovisual::3::- Explain how the manipulation of digital images amounts to arithmetic operations on their digital representation</v>
      </c>
      <c r="F282" s="85" t="s">
        <v>924</v>
      </c>
      <c r="G282" s="85">
        <v>3.6</v>
      </c>
      <c r="H282" s="85" t="s">
        <v>212</v>
      </c>
      <c r="I282" s="85" t="s">
        <v>102</v>
      </c>
    </row>
    <row r="283" spans="1:9" ht="13">
      <c r="A283" s="85">
        <v>3</v>
      </c>
      <c r="B283" s="85">
        <v>9</v>
      </c>
      <c r="C283" s="85" t="s">
        <v>915</v>
      </c>
      <c r="D283" s="85">
        <v>3</v>
      </c>
      <c r="E283" s="85" t="str">
        <f t="shared" si="1"/>
        <v>9::Representations – going audiovisual::3::- Describe and assess the creative benefits and ethical drawbacks of digital manipulation [Education for a Connected World](https://www.gov.uk/government/publications/education-for-a-connected-world)</v>
      </c>
      <c r="F283" s="85" t="s">
        <v>925</v>
      </c>
      <c r="G283" s="85">
        <v>3.6</v>
      </c>
      <c r="H283" s="85" t="s">
        <v>926</v>
      </c>
      <c r="I283" s="85" t="s">
        <v>102</v>
      </c>
    </row>
    <row r="284" spans="1:9" ht="13">
      <c r="A284" s="85">
        <v>3</v>
      </c>
      <c r="B284" s="85">
        <v>9</v>
      </c>
      <c r="C284" s="85" t="s">
        <v>915</v>
      </c>
      <c r="D284" s="85">
        <v>4</v>
      </c>
      <c r="E284" s="85" t="str">
        <f t="shared" si="1"/>
        <v>9::Representations – going audiovisual::4::- Recall that sound is a wave</v>
      </c>
      <c r="F284" s="85" t="s">
        <v>927</v>
      </c>
      <c r="G284" s="85">
        <v>3.6</v>
      </c>
      <c r="H284" s="85" t="s">
        <v>10</v>
      </c>
      <c r="I284" s="85" t="s">
        <v>102</v>
      </c>
    </row>
    <row r="285" spans="1:9" ht="13">
      <c r="A285" s="85">
        <v>3</v>
      </c>
      <c r="B285" s="85">
        <v>9</v>
      </c>
      <c r="C285" s="85" t="s">
        <v>915</v>
      </c>
      <c r="D285" s="85">
        <v>4</v>
      </c>
      <c r="E285" s="85" t="str">
        <f t="shared" si="1"/>
        <v>9::Representations – going audiovisual::4::- Explain the function of microphones and speakers as components that capture and generate sound</v>
      </c>
      <c r="F285" s="85" t="s">
        <v>928</v>
      </c>
      <c r="G285" s="85">
        <v>3.6</v>
      </c>
      <c r="H285" s="85" t="s">
        <v>14</v>
      </c>
      <c r="I285" s="85" t="s">
        <v>102</v>
      </c>
    </row>
    <row r="286" spans="1:9" ht="13">
      <c r="A286" s="85">
        <v>3</v>
      </c>
      <c r="B286" s="85">
        <v>9</v>
      </c>
      <c r="C286" s="85" t="s">
        <v>915</v>
      </c>
      <c r="D286" s="85">
        <v>4</v>
      </c>
      <c r="E286" s="85" t="str">
        <f t="shared" si="1"/>
        <v>9::Representations – going audiovisual::4::- Define key terms such as ‘sample’, ‘sampling frequency/rate’, ‘sample size’</v>
      </c>
      <c r="F286" s="85" t="s">
        <v>929</v>
      </c>
      <c r="G286" s="85">
        <v>3.6</v>
      </c>
      <c r="H286" s="85" t="s">
        <v>10</v>
      </c>
      <c r="I286" s="85" t="s">
        <v>102</v>
      </c>
    </row>
    <row r="287" spans="1:9" ht="13">
      <c r="A287" s="85">
        <v>3</v>
      </c>
      <c r="B287" s="85">
        <v>9</v>
      </c>
      <c r="C287" s="85" t="s">
        <v>915</v>
      </c>
      <c r="D287" s="85">
        <v>4</v>
      </c>
      <c r="E287" s="85" t="str">
        <f t="shared" si="1"/>
        <v>9::Representations – going audiovisual::4::- Describe how sounds are represented as sequences of bits</v>
      </c>
      <c r="F287" s="85" t="s">
        <v>930</v>
      </c>
      <c r="G287" s="85">
        <v>3.6</v>
      </c>
      <c r="H287" s="85" t="s">
        <v>10</v>
      </c>
      <c r="I287" s="85" t="s">
        <v>102</v>
      </c>
    </row>
    <row r="288" spans="1:9" ht="13">
      <c r="A288" s="85">
        <v>3</v>
      </c>
      <c r="B288" s="85">
        <v>9</v>
      </c>
      <c r="C288" s="85" t="s">
        <v>915</v>
      </c>
      <c r="D288" s="85">
        <v>5</v>
      </c>
      <c r="E288" s="85" t="str">
        <f t="shared" si="1"/>
        <v>9::Representations – going audiovisual::5::- Calculate representation size for a given digital sound, given its attributes</v>
      </c>
      <c r="F288" s="85" t="s">
        <v>931</v>
      </c>
      <c r="G288" s="85">
        <v>3.6</v>
      </c>
      <c r="H288" s="85" t="s">
        <v>10</v>
      </c>
      <c r="I288" s="85" t="s">
        <v>102</v>
      </c>
    </row>
    <row r="289" spans="1:9" ht="13">
      <c r="A289" s="85">
        <v>3</v>
      </c>
      <c r="B289" s="85">
        <v>9</v>
      </c>
      <c r="C289" s="85" t="s">
        <v>915</v>
      </c>
      <c r="D289" s="85">
        <v>5</v>
      </c>
      <c r="E289" s="85" t="str">
        <f t="shared" si="1"/>
        <v>9::Representations – going audiovisual::5::- Explain how attributes such as sampling frequency and sample size affect characteristics such as representation size and perceived quality, and the trade-offs involved</v>
      </c>
      <c r="F289" s="85" t="s">
        <v>932</v>
      </c>
      <c r="G289" s="85">
        <v>3.6</v>
      </c>
      <c r="H289" s="85" t="s">
        <v>10</v>
      </c>
      <c r="I289" s="85" t="s">
        <v>102</v>
      </c>
    </row>
    <row r="290" spans="1:9" ht="13">
      <c r="A290" s="85">
        <v>3</v>
      </c>
      <c r="B290" s="85">
        <v>9</v>
      </c>
      <c r="C290" s="85" t="s">
        <v>915</v>
      </c>
      <c r="D290" s="85">
        <v>5</v>
      </c>
      <c r="E290" s="85" t="str">
        <f t="shared" si="1"/>
        <v xml:space="preserve">9::Representations – going audiovisual::5::- Perform basic sound editing tasks using appropriate software and combine them in order to solve more complex problems requiring sound manipulation
</v>
      </c>
      <c r="F290" s="85" t="s">
        <v>933</v>
      </c>
      <c r="G290" s="85">
        <v>3.6</v>
      </c>
      <c r="H290" s="85" t="s">
        <v>10</v>
      </c>
      <c r="I290" s="85" t="s">
        <v>102</v>
      </c>
    </row>
    <row r="291" spans="1:9" ht="13">
      <c r="A291" s="85">
        <v>3</v>
      </c>
      <c r="B291" s="85">
        <v>9</v>
      </c>
      <c r="C291" s="85" t="s">
        <v>915</v>
      </c>
      <c r="D291" s="85">
        <v>6</v>
      </c>
      <c r="E291" s="85" t="str">
        <f t="shared" si="1"/>
        <v>9::Representations – going audiovisual::6::- Recall that bitmap images and pulse code sound are not the only binary representations of images and sound available</v>
      </c>
      <c r="F291" s="85" t="s">
        <v>934</v>
      </c>
      <c r="G291" s="85">
        <v>3.6</v>
      </c>
      <c r="H291" s="85" t="s">
        <v>10</v>
      </c>
      <c r="I291" s="85" t="s">
        <v>102</v>
      </c>
    </row>
    <row r="292" spans="1:9" ht="13">
      <c r="A292" s="85">
        <v>3</v>
      </c>
      <c r="B292" s="85">
        <v>9</v>
      </c>
      <c r="C292" s="85" t="s">
        <v>915</v>
      </c>
      <c r="D292" s="85">
        <v>6</v>
      </c>
      <c r="E292" s="85" t="str">
        <f t="shared" si="1"/>
        <v>9::Representations – going audiovisual::6::- Define ‘compression’, and describe why it is necessary</v>
      </c>
      <c r="F292" s="85" t="s">
        <v>935</v>
      </c>
      <c r="G292" s="85">
        <v>3.6</v>
      </c>
      <c r="H292" s="85" t="s">
        <v>10</v>
      </c>
      <c r="I292" s="85"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H129"/>
  <sheetViews>
    <sheetView workbookViewId="0"/>
  </sheetViews>
  <sheetFormatPr baseColWidth="10" defaultColWidth="12.6640625" defaultRowHeight="15.75" customHeight="1"/>
  <sheetData>
    <row r="1" spans="1:8" ht="15.75" customHeight="1">
      <c r="A1" s="85" t="s">
        <v>76</v>
      </c>
      <c r="B1" s="85" t="s">
        <v>77</v>
      </c>
      <c r="C1" s="85" t="s">
        <v>78</v>
      </c>
      <c r="D1" s="85"/>
      <c r="E1" s="85" t="s">
        <v>79</v>
      </c>
      <c r="F1" s="85" t="s">
        <v>80</v>
      </c>
      <c r="G1" s="85" t="s">
        <v>80</v>
      </c>
      <c r="H1" s="85" t="s">
        <v>80</v>
      </c>
    </row>
    <row r="2" spans="1:8" ht="15.75" customHeight="1">
      <c r="A2" s="85" t="s">
        <v>936</v>
      </c>
      <c r="B2" s="85" t="s">
        <v>937</v>
      </c>
      <c r="C2" s="85">
        <v>1</v>
      </c>
      <c r="D2" s="85" t="str">
        <f t="shared" ref="D2:D129" si="0">$B2&amp;"::"&amp;$C2&amp;"::"&amp;$E2</f>
        <v>IT and the world of work::1::Examine traditional and modern team working</v>
      </c>
      <c r="E2" s="85" t="s">
        <v>938</v>
      </c>
      <c r="F2" s="85">
        <v>4.0999999999999996</v>
      </c>
      <c r="G2" s="85" t="s">
        <v>939</v>
      </c>
      <c r="H2" s="85" t="s">
        <v>102</v>
      </c>
    </row>
    <row r="3" spans="1:8" ht="15.75" customHeight="1">
      <c r="A3" s="85" t="s">
        <v>936</v>
      </c>
      <c r="B3" s="85" t="s">
        <v>937</v>
      </c>
      <c r="C3" s="85">
        <v>1</v>
      </c>
      <c r="D3" s="85" t="str">
        <f t="shared" si="0"/>
        <v>IT and the world of work::1::Interpret the advantages and disadvantages of 24/7/365 availability</v>
      </c>
      <c r="E3" s="85" t="s">
        <v>940</v>
      </c>
      <c r="F3" s="85">
        <v>4.0999999999999996</v>
      </c>
      <c r="G3" s="85" t="s">
        <v>939</v>
      </c>
      <c r="H3" s="85" t="s">
        <v>102</v>
      </c>
    </row>
    <row r="4" spans="1:8" ht="15.75" customHeight="1">
      <c r="A4" s="85" t="s">
        <v>936</v>
      </c>
      <c r="B4" s="85" t="s">
        <v>937</v>
      </c>
      <c r="C4" s="85">
        <v>1</v>
      </c>
      <c r="D4" s="85" t="str">
        <f t="shared" si="0"/>
        <v>IT and the world of work::1::Compare inclusivity and accessibility within traditional and modern teams</v>
      </c>
      <c r="E4" s="85" t="s">
        <v>941</v>
      </c>
      <c r="F4" s="85">
        <v>4.0999999999999996</v>
      </c>
      <c r="G4" s="85" t="s">
        <v>939</v>
      </c>
      <c r="H4" s="85" t="s">
        <v>102</v>
      </c>
    </row>
    <row r="5" spans="1:8" ht="15.75" customHeight="1">
      <c r="A5" s="85" t="s">
        <v>936</v>
      </c>
      <c r="B5" s="85" t="s">
        <v>937</v>
      </c>
      <c r="C5" s="85">
        <v>2</v>
      </c>
      <c r="D5" s="85" t="str">
        <f t="shared" si="0"/>
        <v>IT and the world of work::2::Examine modern technology tools that assist inclusivity and accessibility</v>
      </c>
      <c r="E5" s="85" t="s">
        <v>942</v>
      </c>
      <c r="F5" s="85">
        <v>4.0999999999999996</v>
      </c>
      <c r="G5" s="85" t="s">
        <v>939</v>
      </c>
      <c r="H5" s="85" t="s">
        <v>102</v>
      </c>
    </row>
    <row r="6" spans="1:8" ht="15.75" customHeight="1">
      <c r="A6" s="85" t="s">
        <v>936</v>
      </c>
      <c r="B6" s="85" t="s">
        <v>937</v>
      </c>
      <c r="C6" s="85">
        <v>2</v>
      </c>
      <c r="D6" s="85" t="str">
        <f t="shared" si="0"/>
        <v>IT and the world of work::2::Explore communication tools</v>
      </c>
      <c r="E6" s="85" t="s">
        <v>943</v>
      </c>
      <c r="F6" s="85">
        <v>4.0999999999999996</v>
      </c>
      <c r="G6" s="85" t="s">
        <v>944</v>
      </c>
      <c r="H6" s="85" t="s">
        <v>102</v>
      </c>
    </row>
    <row r="7" spans="1:8" ht="15.75" customHeight="1">
      <c r="A7" s="85" t="s">
        <v>936</v>
      </c>
      <c r="B7" s="85" t="s">
        <v>937</v>
      </c>
      <c r="C7" s="85">
        <v>2</v>
      </c>
      <c r="D7" s="85" t="str">
        <f t="shared" si="0"/>
        <v>IT and the world of work::2::Evaluate collaborative working</v>
      </c>
      <c r="E7" s="85" t="s">
        <v>945</v>
      </c>
      <c r="F7" s="85">
        <v>4.0999999999999996</v>
      </c>
      <c r="G7" s="85" t="s">
        <v>944</v>
      </c>
      <c r="H7" s="85" t="s">
        <v>102</v>
      </c>
    </row>
    <row r="8" spans="1:8" ht="15.75" customHeight="1">
      <c r="A8" s="85" t="s">
        <v>936</v>
      </c>
      <c r="B8" s="85" t="s">
        <v>937</v>
      </c>
      <c r="C8" s="85">
        <v>3</v>
      </c>
      <c r="D8" s="85" t="str">
        <f t="shared" si="0"/>
        <v>IT and the world of work::3::Recall collaboration and communication platforms</v>
      </c>
      <c r="E8" s="85" t="s">
        <v>946</v>
      </c>
      <c r="F8" s="85">
        <v>4.0999999999999996</v>
      </c>
      <c r="G8" s="85" t="s">
        <v>944</v>
      </c>
      <c r="H8" s="85" t="s">
        <v>102</v>
      </c>
    </row>
    <row r="9" spans="1:8" ht="15.75" customHeight="1">
      <c r="A9" s="85" t="s">
        <v>936</v>
      </c>
      <c r="B9" s="85" t="s">
        <v>937</v>
      </c>
      <c r="C9" s="85">
        <v>3</v>
      </c>
      <c r="D9" s="85" t="str">
        <f t="shared" si="0"/>
        <v>IT and the world of work::3::Evaluate effective online communication</v>
      </c>
      <c r="E9" s="85" t="s">
        <v>947</v>
      </c>
      <c r="F9" s="85">
        <v>4.0999999999999996</v>
      </c>
      <c r="G9" s="85" t="s">
        <v>944</v>
      </c>
      <c r="H9" s="85" t="s">
        <v>102</v>
      </c>
    </row>
    <row r="10" spans="1:8" ht="15.75" customHeight="1">
      <c r="A10" s="85" t="s">
        <v>936</v>
      </c>
      <c r="B10" s="85" t="s">
        <v>937</v>
      </c>
      <c r="C10" s="85">
        <v>3</v>
      </c>
      <c r="D10" s="85" t="str">
        <f t="shared" si="0"/>
        <v>IT and the world of work::3::Formulate a proposal that identifies essential skills for the modern workplace</v>
      </c>
      <c r="E10" s="85" t="s">
        <v>948</v>
      </c>
      <c r="F10" s="85">
        <v>4.0999999999999996</v>
      </c>
      <c r="G10" s="85" t="s">
        <v>944</v>
      </c>
      <c r="H10" s="85" t="s">
        <v>102</v>
      </c>
    </row>
    <row r="11" spans="1:8" ht="15.75" customHeight="1">
      <c r="A11" s="85" t="s">
        <v>936</v>
      </c>
      <c r="B11" s="85" t="s">
        <v>937</v>
      </c>
      <c r="C11" s="85">
        <v>4</v>
      </c>
      <c r="D11" s="85" t="str">
        <f t="shared" si="0"/>
        <v>IT and the world of work::4::Assess the functions and features of cloud computing</v>
      </c>
      <c r="E11" s="85" t="s">
        <v>949</v>
      </c>
      <c r="F11" s="85">
        <v>4.0999999999999996</v>
      </c>
      <c r="G11" s="85" t="s">
        <v>271</v>
      </c>
      <c r="H11" s="85" t="s">
        <v>102</v>
      </c>
    </row>
    <row r="12" spans="1:8" ht="15.75" customHeight="1">
      <c r="A12" s="85" t="s">
        <v>936</v>
      </c>
      <c r="B12" s="85" t="s">
        <v>937</v>
      </c>
      <c r="C12" s="85">
        <v>4</v>
      </c>
      <c r="D12" s="85" t="str">
        <f t="shared" si="0"/>
        <v>IT and the world of work::4::Justify the selection of communication platforms</v>
      </c>
      <c r="E12" s="85" t="s">
        <v>950</v>
      </c>
      <c r="F12" s="85">
        <v>4.0999999999999996</v>
      </c>
      <c r="G12" s="85" t="s">
        <v>944</v>
      </c>
      <c r="H12" s="85" t="s">
        <v>102</v>
      </c>
    </row>
    <row r="13" spans="1:8" ht="15.75" customHeight="1">
      <c r="A13" s="85" t="s">
        <v>936</v>
      </c>
      <c r="B13" s="85" t="s">
        <v>937</v>
      </c>
      <c r="C13" s="85">
        <v>4</v>
      </c>
      <c r="D13" s="85" t="str">
        <f t="shared" si="0"/>
        <v>IT and the world of work::4::Evaluate the security of using the cloud for storage and document/data creation</v>
      </c>
      <c r="E13" s="85" t="s">
        <v>951</v>
      </c>
      <c r="F13" s="85">
        <v>4.0999999999999996</v>
      </c>
      <c r="G13" s="85" t="s">
        <v>176</v>
      </c>
      <c r="H13" s="85" t="s">
        <v>102</v>
      </c>
    </row>
    <row r="14" spans="1:8" ht="15.75" customHeight="1">
      <c r="A14" s="85" t="s">
        <v>936</v>
      </c>
      <c r="B14" s="85" t="s">
        <v>937</v>
      </c>
      <c r="C14" s="85">
        <v>5</v>
      </c>
      <c r="D14" s="85" t="str">
        <f t="shared" si="0"/>
        <v>IT and the world of work::5::Recognise methods of creating a network when mobile or remote working</v>
      </c>
      <c r="E14" s="85" t="s">
        <v>952</v>
      </c>
      <c r="F14" s="85">
        <v>4.0999999999999996</v>
      </c>
      <c r="G14" s="85" t="s">
        <v>6</v>
      </c>
      <c r="H14" s="85" t="s">
        <v>102</v>
      </c>
    </row>
    <row r="15" spans="1:8" ht="15.75" customHeight="1">
      <c r="A15" s="85" t="s">
        <v>936</v>
      </c>
      <c r="B15" s="85" t="s">
        <v>937</v>
      </c>
      <c r="C15" s="85">
        <v>5</v>
      </c>
      <c r="D15" s="85" t="str">
        <f t="shared" si="0"/>
        <v>IT and the world of work::5::Evaluate the advantages and disadvantages of ad hoc networks</v>
      </c>
      <c r="E15" s="85" t="s">
        <v>953</v>
      </c>
      <c r="F15" s="85">
        <v>4.0999999999999996</v>
      </c>
      <c r="G15" s="85" t="s">
        <v>6</v>
      </c>
      <c r="H15" s="85" t="s">
        <v>102</v>
      </c>
    </row>
    <row r="16" spans="1:8" ht="15.75" customHeight="1">
      <c r="A16" s="85" t="s">
        <v>936</v>
      </c>
      <c r="B16" s="85" t="s">
        <v>937</v>
      </c>
      <c r="C16" s="85">
        <v>5</v>
      </c>
      <c r="D16" s="85" t="str">
        <f t="shared" si="0"/>
        <v>IT and the world of work::5::Judge the security of ad hoc networks</v>
      </c>
      <c r="E16" s="85" t="s">
        <v>954</v>
      </c>
      <c r="F16" s="85">
        <v>4.0999999999999996</v>
      </c>
      <c r="G16" s="85" t="s">
        <v>6</v>
      </c>
      <c r="H16" s="85" t="s">
        <v>102</v>
      </c>
    </row>
    <row r="17" spans="1:8" ht="15.75" customHeight="1">
      <c r="A17" s="85" t="s">
        <v>936</v>
      </c>
      <c r="B17" s="85" t="s">
        <v>937</v>
      </c>
      <c r="C17" s="85">
        <v>6</v>
      </c>
      <c r="D17" s="85" t="str">
        <f t="shared" si="0"/>
        <v>IT and the world of work::6::Evaluate the impact of mental well-being on individuals</v>
      </c>
      <c r="E17" s="85" t="s">
        <v>955</v>
      </c>
      <c r="F17" s="85">
        <v>4.0999999999999996</v>
      </c>
      <c r="G17" s="85" t="s">
        <v>944</v>
      </c>
      <c r="H17" s="85" t="s">
        <v>102</v>
      </c>
    </row>
    <row r="18" spans="1:8" ht="15.75" customHeight="1">
      <c r="A18" s="85" t="s">
        <v>936</v>
      </c>
      <c r="B18" s="85" t="s">
        <v>937</v>
      </c>
      <c r="C18" s="85">
        <v>6</v>
      </c>
      <c r="D18" s="85" t="str">
        <f t="shared" si="0"/>
        <v>IT and the world of work::6::Evaluate the impact of physical well-being on individuals</v>
      </c>
      <c r="E18" s="85" t="s">
        <v>956</v>
      </c>
      <c r="F18" s="85">
        <v>4.0999999999999996</v>
      </c>
      <c r="G18" s="85" t="s">
        <v>944</v>
      </c>
      <c r="H18" s="85" t="s">
        <v>102</v>
      </c>
    </row>
    <row r="19" spans="1:8" ht="15.75" customHeight="1">
      <c r="A19" s="85" t="s">
        <v>936</v>
      </c>
      <c r="B19" s="85" t="s">
        <v>937</v>
      </c>
      <c r="C19" s="85">
        <v>6</v>
      </c>
      <c r="D19" s="85" t="str">
        <f t="shared" si="0"/>
        <v>IT and the world of work::6::Create a positive working environment</v>
      </c>
      <c r="E19" s="85" t="s">
        <v>957</v>
      </c>
      <c r="F19" s="85">
        <v>4.0999999999999996</v>
      </c>
      <c r="G19" s="85" t="s">
        <v>944</v>
      </c>
      <c r="H19" s="85" t="s">
        <v>102</v>
      </c>
    </row>
    <row r="20" spans="1:8" ht="15.75" customHeight="1">
      <c r="A20" s="85" t="s">
        <v>936</v>
      </c>
      <c r="B20" s="85" t="s">
        <v>958</v>
      </c>
      <c r="C20" s="85">
        <v>1</v>
      </c>
      <c r="D20" s="85" t="str">
        <f t="shared" si="0"/>
        <v>IT project management::1::Define the term project management</v>
      </c>
      <c r="E20" s="85" t="s">
        <v>959</v>
      </c>
      <c r="F20" s="85" t="s">
        <v>960</v>
      </c>
      <c r="G20" s="85" t="s">
        <v>12</v>
      </c>
      <c r="H20" s="85" t="s">
        <v>102</v>
      </c>
    </row>
    <row r="21" spans="1:8" ht="15.75" customHeight="1">
      <c r="A21" s="85" t="s">
        <v>936</v>
      </c>
      <c r="B21" s="85" t="s">
        <v>958</v>
      </c>
      <c r="C21" s="85">
        <v>1</v>
      </c>
      <c r="D21" s="85" t="str">
        <f t="shared" si="0"/>
        <v>IT project management::1::Identify why the use of project management is important</v>
      </c>
      <c r="E21" s="85" t="s">
        <v>961</v>
      </c>
      <c r="F21" s="85" t="s">
        <v>960</v>
      </c>
      <c r="G21" s="85" t="s">
        <v>12</v>
      </c>
      <c r="H21" s="85" t="s">
        <v>102</v>
      </c>
    </row>
    <row r="22" spans="1:8" ht="15.75" customHeight="1">
      <c r="A22" s="85" t="s">
        <v>936</v>
      </c>
      <c r="B22" s="85" t="s">
        <v>958</v>
      </c>
      <c r="C22" s="85">
        <v>1</v>
      </c>
      <c r="D22" s="85" t="str">
        <f t="shared" si="0"/>
        <v>IT project management::1::Select appropriate project management methodologies</v>
      </c>
      <c r="E22" s="85" t="s">
        <v>962</v>
      </c>
      <c r="F22" s="85" t="s">
        <v>960</v>
      </c>
      <c r="G22" s="85" t="s">
        <v>12</v>
      </c>
      <c r="H22" s="85" t="s">
        <v>102</v>
      </c>
    </row>
    <row r="23" spans="1:8" ht="15.75" customHeight="1">
      <c r="A23" s="85" t="s">
        <v>936</v>
      </c>
      <c r="B23" s="85" t="s">
        <v>958</v>
      </c>
      <c r="C23" s="85">
        <v>2</v>
      </c>
      <c r="D23" s="85" t="str">
        <f t="shared" si="0"/>
        <v>IT project management::2::Analyse a project brief</v>
      </c>
      <c r="E23" s="85" t="s">
        <v>963</v>
      </c>
      <c r="F23" s="85" t="s">
        <v>960</v>
      </c>
      <c r="G23" s="85" t="s">
        <v>12</v>
      </c>
      <c r="H23" s="85" t="s">
        <v>102</v>
      </c>
    </row>
    <row r="24" spans="1:8" ht="15.75" customHeight="1">
      <c r="A24" s="85" t="s">
        <v>936</v>
      </c>
      <c r="B24" s="85" t="s">
        <v>958</v>
      </c>
      <c r="C24" s="85">
        <v>2</v>
      </c>
      <c r="D24" s="85" t="str">
        <f t="shared" si="0"/>
        <v>IT project management::2::Identify the user requirements of a project</v>
      </c>
      <c r="E24" s="85" t="s">
        <v>964</v>
      </c>
      <c r="F24" s="85" t="s">
        <v>960</v>
      </c>
      <c r="G24" s="85" t="s">
        <v>12</v>
      </c>
      <c r="H24" s="85" t="s">
        <v>102</v>
      </c>
    </row>
    <row r="25" spans="1:8" ht="15.75" customHeight="1">
      <c r="A25" s="85" t="s">
        <v>936</v>
      </c>
      <c r="B25" s="85" t="s">
        <v>958</v>
      </c>
      <c r="C25" s="85">
        <v>2</v>
      </c>
      <c r="D25" s="85" t="str">
        <f t="shared" si="0"/>
        <v>IT project management::2::Evaluate the constraints of a project</v>
      </c>
      <c r="E25" s="85" t="s">
        <v>965</v>
      </c>
      <c r="F25" s="85" t="s">
        <v>960</v>
      </c>
      <c r="G25" s="85" t="s">
        <v>12</v>
      </c>
      <c r="H25" s="85" t="s">
        <v>102</v>
      </c>
    </row>
    <row r="26" spans="1:8" ht="15.75" customHeight="1">
      <c r="A26" s="85" t="s">
        <v>936</v>
      </c>
      <c r="B26" s="85" t="s">
        <v>958</v>
      </c>
      <c r="C26" s="85">
        <v>3</v>
      </c>
      <c r="D26" s="85" t="str">
        <f t="shared" si="0"/>
        <v>IT project management::3::Identify objectives relating to a project</v>
      </c>
      <c r="E26" s="85" t="s">
        <v>966</v>
      </c>
      <c r="F26" s="85" t="s">
        <v>960</v>
      </c>
      <c r="G26" s="85" t="s">
        <v>12</v>
      </c>
      <c r="H26" s="85" t="s">
        <v>102</v>
      </c>
    </row>
    <row r="27" spans="1:8" ht="15.75" customHeight="1">
      <c r="A27" s="85" t="s">
        <v>936</v>
      </c>
      <c r="B27" s="85" t="s">
        <v>958</v>
      </c>
      <c r="C27" s="85">
        <v>3</v>
      </c>
      <c r="D27" s="85" t="str">
        <f t="shared" si="0"/>
        <v>IT project management::3::Develop objectives into SMART goals</v>
      </c>
      <c r="E27" s="85" t="s">
        <v>967</v>
      </c>
      <c r="F27" s="85" t="s">
        <v>960</v>
      </c>
      <c r="G27" s="85" t="s">
        <v>12</v>
      </c>
      <c r="H27" s="85" t="s">
        <v>102</v>
      </c>
    </row>
    <row r="28" spans="1:8" ht="15.75" customHeight="1">
      <c r="A28" s="85" t="s">
        <v>936</v>
      </c>
      <c r="B28" s="85" t="s">
        <v>958</v>
      </c>
      <c r="C28" s="85">
        <v>3</v>
      </c>
      <c r="D28" s="85" t="str">
        <f t="shared" si="0"/>
        <v>IT project management::3::Define ‘iteration’ and ‘interaction’</v>
      </c>
      <c r="E28" s="85" t="s">
        <v>968</v>
      </c>
      <c r="F28" s="85" t="s">
        <v>960</v>
      </c>
      <c r="G28" s="85" t="s">
        <v>12</v>
      </c>
      <c r="H28" s="85" t="s">
        <v>102</v>
      </c>
    </row>
    <row r="29" spans="1:8" ht="15.75" customHeight="1">
      <c r="A29" s="85" t="s">
        <v>936</v>
      </c>
      <c r="B29" s="85" t="s">
        <v>958</v>
      </c>
      <c r="C29" s="85">
        <v>4</v>
      </c>
      <c r="D29" s="85" t="str">
        <f t="shared" si="0"/>
        <v>IT project management::4::Create a Gantt chart</v>
      </c>
      <c r="E29" s="85" t="s">
        <v>969</v>
      </c>
      <c r="F29" s="85" t="s">
        <v>960</v>
      </c>
      <c r="G29" s="85" t="s">
        <v>700</v>
      </c>
      <c r="H29" s="85" t="s">
        <v>102</v>
      </c>
    </row>
    <row r="30" spans="1:8" ht="15.75" customHeight="1">
      <c r="A30" s="85" t="s">
        <v>936</v>
      </c>
      <c r="B30" s="85" t="s">
        <v>958</v>
      </c>
      <c r="C30" s="85">
        <v>4</v>
      </c>
      <c r="D30" s="85" t="str">
        <f t="shared" si="0"/>
        <v>IT project management::4::Create a PERT chart</v>
      </c>
      <c r="E30" s="85" t="s">
        <v>970</v>
      </c>
      <c r="F30" s="85" t="s">
        <v>960</v>
      </c>
      <c r="G30" s="85" t="s">
        <v>700</v>
      </c>
      <c r="H30" s="85" t="s">
        <v>102</v>
      </c>
    </row>
    <row r="31" spans="1:8" ht="15.75" customHeight="1">
      <c r="A31" s="85" t="s">
        <v>936</v>
      </c>
      <c r="B31" s="85" t="s">
        <v>958</v>
      </c>
      <c r="C31" s="85">
        <v>4</v>
      </c>
      <c r="D31" s="85" t="str">
        <f t="shared" si="0"/>
        <v>IT project management::4::Evaluate planning tools</v>
      </c>
      <c r="E31" s="85" t="s">
        <v>971</v>
      </c>
      <c r="F31" s="85" t="s">
        <v>960</v>
      </c>
      <c r="G31" s="85" t="s">
        <v>12</v>
      </c>
      <c r="H31" s="85" t="s">
        <v>102</v>
      </c>
    </row>
    <row r="32" spans="1:8" ht="15.75" customHeight="1">
      <c r="A32" s="85" t="s">
        <v>936</v>
      </c>
      <c r="B32" s="85" t="s">
        <v>958</v>
      </c>
      <c r="C32" s="85">
        <v>5</v>
      </c>
      <c r="D32" s="85" t="str">
        <f t="shared" si="0"/>
        <v>IT project management::5::Create an appropriate spreadsheet for a project</v>
      </c>
      <c r="E32" s="85" t="s">
        <v>972</v>
      </c>
      <c r="F32" s="85" t="s">
        <v>960</v>
      </c>
      <c r="G32" s="85" t="s">
        <v>314</v>
      </c>
      <c r="H32" s="85" t="s">
        <v>102</v>
      </c>
    </row>
    <row r="33" spans="1:8" ht="15.75" customHeight="1">
      <c r="A33" s="85" t="s">
        <v>936</v>
      </c>
      <c r="B33" s="85" t="s">
        <v>958</v>
      </c>
      <c r="C33" s="85">
        <v>5</v>
      </c>
      <c r="D33" s="85" t="str">
        <f t="shared" si="0"/>
        <v>IT project management::5::Evaluate a spreadsheet</v>
      </c>
      <c r="E33" s="85" t="s">
        <v>973</v>
      </c>
      <c r="F33" s="85" t="s">
        <v>960</v>
      </c>
      <c r="G33" s="85" t="s">
        <v>700</v>
      </c>
      <c r="H33" s="85" t="s">
        <v>102</v>
      </c>
    </row>
    <row r="34" spans="1:8" ht="15.75" customHeight="1">
      <c r="A34" s="85" t="s">
        <v>936</v>
      </c>
      <c r="B34" s="85" t="s">
        <v>958</v>
      </c>
      <c r="C34" s="85">
        <v>6</v>
      </c>
      <c r="D34" s="85" t="str">
        <f t="shared" si="0"/>
        <v>IT project management::6::Follow a design plan</v>
      </c>
      <c r="E34" s="85" t="s">
        <v>974</v>
      </c>
      <c r="F34" s="85" t="s">
        <v>960</v>
      </c>
      <c r="G34" s="85" t="s">
        <v>12</v>
      </c>
      <c r="H34" s="85" t="s">
        <v>102</v>
      </c>
    </row>
    <row r="35" spans="1:8" ht="15.75" customHeight="1">
      <c r="A35" s="85" t="s">
        <v>936</v>
      </c>
      <c r="B35" s="85" t="s">
        <v>958</v>
      </c>
      <c r="C35" s="85">
        <v>6</v>
      </c>
      <c r="D35" s="85" t="str">
        <f t="shared" si="0"/>
        <v>IT project management::6::Create visual media</v>
      </c>
      <c r="E35" s="85" t="s">
        <v>975</v>
      </c>
      <c r="F35" s="85" t="s">
        <v>960</v>
      </c>
      <c r="G35" s="85" t="s">
        <v>198</v>
      </c>
      <c r="H35" s="85" t="s">
        <v>102</v>
      </c>
    </row>
    <row r="36" spans="1:8" ht="15.75" customHeight="1">
      <c r="A36" s="85" t="s">
        <v>936</v>
      </c>
      <c r="B36" s="85" t="s">
        <v>958</v>
      </c>
      <c r="C36" s="85">
        <v>6</v>
      </c>
      <c r="D36" s="85" t="str">
        <f t="shared" si="0"/>
        <v>IT project management::6::Assess the effectiveness of planning for the visual elements of a project</v>
      </c>
      <c r="E36" s="85" t="s">
        <v>976</v>
      </c>
      <c r="F36" s="85" t="s">
        <v>960</v>
      </c>
      <c r="G36" s="85" t="s">
        <v>198</v>
      </c>
      <c r="H36" s="85" t="s">
        <v>102</v>
      </c>
    </row>
    <row r="37" spans="1:8" ht="15.75" customHeight="1">
      <c r="A37" s="85" t="s">
        <v>936</v>
      </c>
      <c r="B37" s="85" t="s">
        <v>958</v>
      </c>
      <c r="C37" s="85">
        <v>7</v>
      </c>
      <c r="D37" s="85" t="str">
        <f t="shared" si="0"/>
        <v>IT project management::7::Evaluate the overall success of a completed project</v>
      </c>
      <c r="E37" s="85" t="s">
        <v>977</v>
      </c>
      <c r="F37" s="85" t="s">
        <v>960</v>
      </c>
      <c r="G37" s="85" t="s">
        <v>12</v>
      </c>
      <c r="H37" s="85" t="s">
        <v>102</v>
      </c>
    </row>
    <row r="38" spans="1:8" ht="15.75" customHeight="1">
      <c r="A38" s="85" t="s">
        <v>936</v>
      </c>
      <c r="B38" s="85" t="s">
        <v>958</v>
      </c>
      <c r="C38" s="85">
        <v>7</v>
      </c>
      <c r="D38" s="85" t="str">
        <f t="shared" si="0"/>
        <v>IT project management::7::Test the effectiveness of developed products</v>
      </c>
      <c r="E38" s="85" t="s">
        <v>978</v>
      </c>
      <c r="F38" s="85" t="s">
        <v>960</v>
      </c>
      <c r="G38" s="85" t="s">
        <v>12</v>
      </c>
      <c r="H38" s="85" t="s">
        <v>102</v>
      </c>
    </row>
    <row r="39" spans="1:8" ht="15.75" customHeight="1">
      <c r="A39" s="85" t="s">
        <v>936</v>
      </c>
      <c r="B39" s="85" t="s">
        <v>958</v>
      </c>
      <c r="C39" s="85">
        <v>8</v>
      </c>
      <c r="D39" s="85" t="str">
        <f t="shared" si="0"/>
        <v>IT project management::8::Identify the user requirements of a project</v>
      </c>
      <c r="E39" s="85" t="s">
        <v>964</v>
      </c>
      <c r="F39" s="85" t="s">
        <v>960</v>
      </c>
      <c r="G39" s="85" t="s">
        <v>12</v>
      </c>
      <c r="H39" s="85" t="s">
        <v>102</v>
      </c>
    </row>
    <row r="40" spans="1:8" ht="15.75" customHeight="1">
      <c r="A40" s="85" t="s">
        <v>936</v>
      </c>
      <c r="B40" s="85" t="s">
        <v>958</v>
      </c>
      <c r="C40" s="85">
        <v>8</v>
      </c>
      <c r="D40" s="85" t="str">
        <f t="shared" si="0"/>
        <v>IT project management::8::Evaluate the constraints of a project</v>
      </c>
      <c r="E40" s="85" t="s">
        <v>965</v>
      </c>
      <c r="F40" s="85" t="s">
        <v>960</v>
      </c>
      <c r="G40" s="85" t="s">
        <v>12</v>
      </c>
      <c r="H40" s="85" t="s">
        <v>102</v>
      </c>
    </row>
    <row r="41" spans="1:8" ht="15.75" customHeight="1">
      <c r="A41" s="85" t="s">
        <v>936</v>
      </c>
      <c r="B41" s="85" t="s">
        <v>958</v>
      </c>
      <c r="C41" s="85">
        <v>8</v>
      </c>
      <c r="D41" s="85" t="str">
        <f t="shared" si="0"/>
        <v>IT project management::8::Develop documentation for the first stage of a project</v>
      </c>
      <c r="E41" s="85" t="s">
        <v>979</v>
      </c>
      <c r="F41" s="85" t="s">
        <v>960</v>
      </c>
      <c r="G41" s="85" t="s">
        <v>12</v>
      </c>
      <c r="H41" s="85" t="s">
        <v>102</v>
      </c>
    </row>
    <row r="42" spans="1:8" ht="15.75" customHeight="1">
      <c r="A42" s="85" t="s">
        <v>936</v>
      </c>
      <c r="B42" s="85" t="s">
        <v>958</v>
      </c>
      <c r="C42" s="85">
        <v>9</v>
      </c>
      <c r="D42" s="85" t="str">
        <f t="shared" si="0"/>
        <v>IT project management::9::Create planning documents for a project</v>
      </c>
      <c r="E42" s="85" t="s">
        <v>980</v>
      </c>
      <c r="F42" s="85" t="s">
        <v>960</v>
      </c>
      <c r="G42" s="85" t="s">
        <v>12</v>
      </c>
      <c r="H42" s="85" t="s">
        <v>102</v>
      </c>
    </row>
    <row r="43" spans="1:8" ht="15.75" customHeight="1">
      <c r="A43" s="85" t="s">
        <v>936</v>
      </c>
      <c r="B43" s="85" t="s">
        <v>958</v>
      </c>
      <c r="C43" s="85">
        <v>9</v>
      </c>
      <c r="D43" s="85" t="str">
        <f t="shared" si="0"/>
        <v>IT project management::9::Create project products</v>
      </c>
      <c r="E43" s="85" t="s">
        <v>981</v>
      </c>
      <c r="F43" s="85" t="s">
        <v>960</v>
      </c>
      <c r="G43" s="85" t="s">
        <v>12</v>
      </c>
      <c r="H43" s="85" t="s">
        <v>102</v>
      </c>
    </row>
    <row r="44" spans="1:8" ht="15.75" customHeight="1">
      <c r="A44" s="85" t="s">
        <v>936</v>
      </c>
      <c r="B44" s="85" t="s">
        <v>958</v>
      </c>
      <c r="C44" s="85">
        <v>9</v>
      </c>
      <c r="D44" s="85" t="str">
        <f t="shared" si="0"/>
        <v>IT project management::9::Develop testing documentation</v>
      </c>
      <c r="E44" s="85" t="s">
        <v>982</v>
      </c>
      <c r="F44" s="85" t="s">
        <v>960</v>
      </c>
      <c r="G44" s="85" t="s">
        <v>12</v>
      </c>
      <c r="H44" s="85" t="s">
        <v>102</v>
      </c>
    </row>
    <row r="45" spans="1:8" ht="15.75" customHeight="1">
      <c r="A45" s="85" t="s">
        <v>936</v>
      </c>
      <c r="B45" s="85" t="s">
        <v>958</v>
      </c>
      <c r="C45" s="85">
        <v>10</v>
      </c>
      <c r="D45" s="85" t="str">
        <f t="shared" si="0"/>
        <v>IT project management::10::Evaluate a completed project</v>
      </c>
      <c r="E45" s="85" t="s">
        <v>983</v>
      </c>
      <c r="F45" s="85" t="s">
        <v>960</v>
      </c>
      <c r="G45" s="85" t="s">
        <v>12</v>
      </c>
      <c r="H45" s="85" t="s">
        <v>102</v>
      </c>
    </row>
    <row r="46" spans="1:8" ht="15.75" customHeight="1">
      <c r="A46" s="85" t="s">
        <v>936</v>
      </c>
      <c r="B46" s="85" t="s">
        <v>984</v>
      </c>
      <c r="C46" s="85">
        <v>1</v>
      </c>
      <c r="D46" s="85" t="str">
        <f t="shared" si="0"/>
        <v>Media::1::Describe the term ‘pre-production’</v>
      </c>
      <c r="E46" s="85" t="s">
        <v>985</v>
      </c>
      <c r="F46" s="85">
        <v>4.0999999999999996</v>
      </c>
      <c r="G46" s="85" t="s">
        <v>12</v>
      </c>
      <c r="H46" s="85" t="s">
        <v>102</v>
      </c>
    </row>
    <row r="47" spans="1:8" ht="15.75" customHeight="1">
      <c r="A47" s="85" t="s">
        <v>936</v>
      </c>
      <c r="B47" s="85" t="s">
        <v>984</v>
      </c>
      <c r="C47" s="85">
        <v>1</v>
      </c>
      <c r="D47" s="85" t="str">
        <f t="shared" si="0"/>
        <v>Media::1::Compare planning tools available for pre-production</v>
      </c>
      <c r="E47" s="85" t="s">
        <v>986</v>
      </c>
      <c r="F47" s="85">
        <v>4.0999999999999996</v>
      </c>
      <c r="G47" s="85" t="s">
        <v>700</v>
      </c>
      <c r="H47" s="85" t="s">
        <v>102</v>
      </c>
    </row>
    <row r="48" spans="1:8" ht="13">
      <c r="A48" s="85" t="s">
        <v>936</v>
      </c>
      <c r="B48" s="85" t="s">
        <v>984</v>
      </c>
      <c r="C48" s="85">
        <v>1</v>
      </c>
      <c r="D48" s="85" t="str">
        <f t="shared" si="0"/>
        <v>Media::1::Create pre-production planning materials</v>
      </c>
      <c r="E48" s="85" t="s">
        <v>987</v>
      </c>
      <c r="F48" s="85">
        <v>4.0999999999999996</v>
      </c>
      <c r="G48" s="85" t="s">
        <v>12</v>
      </c>
      <c r="H48" s="85" t="s">
        <v>102</v>
      </c>
    </row>
    <row r="49" spans="1:8" ht="13">
      <c r="A49" s="85" t="s">
        <v>936</v>
      </c>
      <c r="B49" s="85" t="s">
        <v>984</v>
      </c>
      <c r="C49" s="85">
        <v>2</v>
      </c>
      <c r="D49" s="85" t="str">
        <f t="shared" si="0"/>
        <v>Media::2::Describe the two main types of digital graphics: raster and vector</v>
      </c>
      <c r="E49" s="85" t="s">
        <v>988</v>
      </c>
      <c r="F49" s="85">
        <v>4.0999999999999996</v>
      </c>
      <c r="G49" s="85" t="s">
        <v>212</v>
      </c>
      <c r="H49" s="85" t="s">
        <v>102</v>
      </c>
    </row>
    <row r="50" spans="1:8" ht="13">
      <c r="A50" s="85" t="s">
        <v>936</v>
      </c>
      <c r="B50" s="85" t="s">
        <v>984</v>
      </c>
      <c r="C50" s="85">
        <v>2</v>
      </c>
      <c r="D50" s="85" t="str">
        <f t="shared" si="0"/>
        <v>Media::2::Name associated file formats for types of digital graphics</v>
      </c>
      <c r="E50" s="85" t="s">
        <v>989</v>
      </c>
      <c r="F50" s="85">
        <v>4.0999999999999996</v>
      </c>
      <c r="G50" s="85" t="s">
        <v>8</v>
      </c>
      <c r="H50" s="85" t="s">
        <v>102</v>
      </c>
    </row>
    <row r="51" spans="1:8" ht="13">
      <c r="A51" s="85" t="s">
        <v>936</v>
      </c>
      <c r="B51" s="85" t="s">
        <v>984</v>
      </c>
      <c r="C51" s="85">
        <v>2</v>
      </c>
      <c r="D51" s="85" t="str">
        <f t="shared" si="0"/>
        <v>Media::2::Utilise open source software to create both types of digital graphics</v>
      </c>
      <c r="E51" s="85" t="s">
        <v>990</v>
      </c>
      <c r="F51" s="85">
        <v>4.0999999999999996</v>
      </c>
      <c r="G51" s="85" t="s">
        <v>101</v>
      </c>
      <c r="H51" s="85" t="s">
        <v>102</v>
      </c>
    </row>
    <row r="52" spans="1:8" ht="13">
      <c r="A52" s="85" t="s">
        <v>936</v>
      </c>
      <c r="B52" s="85" t="s">
        <v>984</v>
      </c>
      <c r="C52" s="85">
        <v>2</v>
      </c>
      <c r="D52" s="85" t="str">
        <f t="shared" si="0"/>
        <v>Media::2::Identify the resources required for creating digital graphics</v>
      </c>
      <c r="E52" s="85" t="s">
        <v>991</v>
      </c>
      <c r="F52" s="85">
        <v>4.0999999999999996</v>
      </c>
      <c r="G52" s="85" t="s">
        <v>101</v>
      </c>
      <c r="H52" s="85" t="s">
        <v>102</v>
      </c>
    </row>
    <row r="53" spans="1:8" ht="13">
      <c r="A53" s="85" t="s">
        <v>936</v>
      </c>
      <c r="B53" s="85" t="s">
        <v>984</v>
      </c>
      <c r="C53" s="85">
        <v>2</v>
      </c>
      <c r="D53" s="85" t="str">
        <f t="shared" si="0"/>
        <v>Media::2::Recognise the legislation regarding use of digital graphics</v>
      </c>
      <c r="E53" s="85" t="s">
        <v>992</v>
      </c>
      <c r="F53" s="85">
        <v>4.0999999999999996</v>
      </c>
      <c r="G53" s="85" t="s">
        <v>479</v>
      </c>
      <c r="H53" s="85" t="s">
        <v>102</v>
      </c>
    </row>
    <row r="54" spans="1:8" ht="13">
      <c r="A54" s="85" t="s">
        <v>936</v>
      </c>
      <c r="B54" s="85" t="s">
        <v>984</v>
      </c>
      <c r="C54" s="85">
        <v>3</v>
      </c>
      <c r="D54" s="85" t="str">
        <f t="shared" si="0"/>
        <v>Media::3::Name the different camera angles used in video production</v>
      </c>
      <c r="E54" s="85" t="s">
        <v>993</v>
      </c>
      <c r="F54" s="85">
        <v>4.0999999999999996</v>
      </c>
      <c r="G54" s="85" t="s">
        <v>8</v>
      </c>
      <c r="H54" s="85" t="s">
        <v>102</v>
      </c>
    </row>
    <row r="55" spans="1:8" ht="13">
      <c r="A55" s="85" t="s">
        <v>936</v>
      </c>
      <c r="B55" s="85" t="s">
        <v>984</v>
      </c>
      <c r="C55" s="85">
        <v>3</v>
      </c>
      <c r="D55" s="85" t="str">
        <f t="shared" si="0"/>
        <v>Media::3::Recognise different file formats and properties of digital video</v>
      </c>
      <c r="E55" s="85" t="s">
        <v>994</v>
      </c>
      <c r="F55" s="85">
        <v>4.0999999999999996</v>
      </c>
      <c r="G55" s="85" t="s">
        <v>8</v>
      </c>
      <c r="H55" s="85" t="s">
        <v>102</v>
      </c>
    </row>
    <row r="56" spans="1:8" ht="13">
      <c r="A56" s="85" t="s">
        <v>936</v>
      </c>
      <c r="B56" s="85" t="s">
        <v>984</v>
      </c>
      <c r="C56" s="85">
        <v>3</v>
      </c>
      <c r="D56" s="85" t="str">
        <f t="shared" si="0"/>
        <v>Media::3::Utilise the software required for digital video creation</v>
      </c>
      <c r="E56" s="85" t="s">
        <v>995</v>
      </c>
      <c r="F56" s="85">
        <v>4.0999999999999996</v>
      </c>
      <c r="G56" s="85" t="s">
        <v>101</v>
      </c>
      <c r="H56" s="85" t="s">
        <v>102</v>
      </c>
    </row>
    <row r="57" spans="1:8" ht="13">
      <c r="A57" s="85" t="s">
        <v>936</v>
      </c>
      <c r="B57" s="85" t="s">
        <v>984</v>
      </c>
      <c r="C57" s="85">
        <v>4</v>
      </c>
      <c r="D57" s="85" t="str">
        <f t="shared" si="0"/>
        <v>Media::4::Discuss the features and properties of websites</v>
      </c>
      <c r="E57" s="85" t="s">
        <v>996</v>
      </c>
      <c r="F57" s="85">
        <v>4.0999999999999996</v>
      </c>
      <c r="G57" s="85" t="s">
        <v>361</v>
      </c>
      <c r="H57" s="85" t="s">
        <v>102</v>
      </c>
    </row>
    <row r="58" spans="1:8" ht="13">
      <c r="A58" s="85" t="s">
        <v>936</v>
      </c>
      <c r="B58" s="85" t="s">
        <v>984</v>
      </c>
      <c r="C58" s="85">
        <v>4</v>
      </c>
      <c r="D58" s="85" t="str">
        <f t="shared" si="0"/>
        <v>Media::4::Plan a multi-page website</v>
      </c>
      <c r="E58" s="85" t="s">
        <v>997</v>
      </c>
      <c r="F58" s="85">
        <v>4.0999999999999996</v>
      </c>
      <c r="G58" s="85" t="s">
        <v>558</v>
      </c>
      <c r="H58" s="85" t="s">
        <v>102</v>
      </c>
    </row>
    <row r="59" spans="1:8" ht="13">
      <c r="A59" s="85" t="s">
        <v>936</v>
      </c>
      <c r="B59" s="85" t="s">
        <v>984</v>
      </c>
      <c r="C59" s="85">
        <v>4</v>
      </c>
      <c r="D59" s="85" t="str">
        <f t="shared" si="0"/>
        <v>Media::4::Create a multi-page website using open source tools</v>
      </c>
      <c r="E59" s="85" t="s">
        <v>998</v>
      </c>
      <c r="F59" s="85">
        <v>4.0999999999999996</v>
      </c>
      <c r="G59" s="85" t="s">
        <v>568</v>
      </c>
      <c r="H59" s="85" t="s">
        <v>102</v>
      </c>
    </row>
    <row r="60" spans="1:8" ht="13">
      <c r="A60" s="85" t="s">
        <v>936</v>
      </c>
      <c r="B60" s="85" t="s">
        <v>984</v>
      </c>
      <c r="C60" s="85">
        <v>5</v>
      </c>
      <c r="D60" s="85" t="str">
        <f t="shared" si="0"/>
        <v>Media::5::Plan a digital media artefact from a selected client brief</v>
      </c>
      <c r="E60" s="85" t="s">
        <v>999</v>
      </c>
      <c r="F60" s="85">
        <v>4.0999999999999996</v>
      </c>
      <c r="G60" s="85" t="s">
        <v>109</v>
      </c>
      <c r="H60" s="85" t="s">
        <v>102</v>
      </c>
    </row>
    <row r="61" spans="1:8" ht="13">
      <c r="A61" s="85" t="s">
        <v>936</v>
      </c>
      <c r="B61" s="85" t="s">
        <v>984</v>
      </c>
      <c r="C61" s="85">
        <v>6</v>
      </c>
      <c r="D61" s="85" t="str">
        <f t="shared" si="0"/>
        <v>Media::6::Create media artefacts</v>
      </c>
      <c r="E61" s="85" t="s">
        <v>1000</v>
      </c>
      <c r="F61" s="85">
        <v>4.0999999999999996</v>
      </c>
      <c r="G61" s="85" t="s">
        <v>109</v>
      </c>
      <c r="H61" s="85" t="s">
        <v>102</v>
      </c>
    </row>
    <row r="62" spans="1:8" ht="13">
      <c r="A62" s="85" t="s">
        <v>936</v>
      </c>
      <c r="B62" s="85" t="s">
        <v>984</v>
      </c>
      <c r="C62" s="85">
        <v>7</v>
      </c>
      <c r="D62" s="85" t="str">
        <f t="shared" si="0"/>
        <v>Media::7::Evaluate design decisions for media artefacts</v>
      </c>
      <c r="E62" s="85" t="s">
        <v>1001</v>
      </c>
      <c r="F62" s="85">
        <v>4.0999999999999996</v>
      </c>
      <c r="G62" s="85" t="s">
        <v>109</v>
      </c>
      <c r="H62" s="85" t="s">
        <v>102</v>
      </c>
    </row>
    <row r="63" spans="1:8" ht="13">
      <c r="A63" s="85" t="s">
        <v>936</v>
      </c>
      <c r="B63" s="85" t="s">
        <v>73</v>
      </c>
      <c r="C63" s="85">
        <v>1</v>
      </c>
      <c r="D63" s="85" t="str">
        <f t="shared" si="0"/>
        <v>Object-oriented programming::1::Describe the role of conventions in programming</v>
      </c>
      <c r="E63" s="85" t="s">
        <v>1002</v>
      </c>
      <c r="F63" s="85" t="s">
        <v>960</v>
      </c>
      <c r="G63" s="85" t="s">
        <v>20</v>
      </c>
      <c r="H63" s="85" t="s">
        <v>102</v>
      </c>
    </row>
    <row r="64" spans="1:8" ht="13">
      <c r="A64" s="85" t="s">
        <v>936</v>
      </c>
      <c r="B64" s="85" t="s">
        <v>73</v>
      </c>
      <c r="C64" s="85">
        <v>1</v>
      </c>
      <c r="D64" s="85" t="str">
        <f t="shared" si="0"/>
        <v>Object-oriented programming::1::Recall that there are different paradigms for programming</v>
      </c>
      <c r="E64" s="85" t="s">
        <v>1003</v>
      </c>
      <c r="F64" s="85" t="s">
        <v>960</v>
      </c>
      <c r="G64" s="85" t="s">
        <v>20</v>
      </c>
      <c r="H64" s="85" t="s">
        <v>102</v>
      </c>
    </row>
    <row r="65" spans="1:8" ht="13">
      <c r="A65" s="85" t="s">
        <v>936</v>
      </c>
      <c r="B65" s="85" t="s">
        <v>73</v>
      </c>
      <c r="C65" s="85">
        <v>1</v>
      </c>
      <c r="D65" s="85" t="str">
        <f t="shared" si="0"/>
        <v>Object-oriented programming::1::Define object-oriented programming</v>
      </c>
      <c r="E65" s="85" t="s">
        <v>1004</v>
      </c>
      <c r="F65" s="85" t="s">
        <v>960</v>
      </c>
      <c r="G65" s="85" t="s">
        <v>20</v>
      </c>
      <c r="H65" s="85" t="s">
        <v>102</v>
      </c>
    </row>
    <row r="66" spans="1:8" ht="13">
      <c r="A66" s="85" t="s">
        <v>936</v>
      </c>
      <c r="B66" s="85" t="s">
        <v>73</v>
      </c>
      <c r="C66" s="85">
        <v>1</v>
      </c>
      <c r="D66" s="85" t="str">
        <f t="shared" si="0"/>
        <v>Object-oriented programming::1::Identify a class and object as a part of a program</v>
      </c>
      <c r="E66" s="85" t="s">
        <v>1005</v>
      </c>
      <c r="F66" s="85" t="s">
        <v>960</v>
      </c>
      <c r="G66" s="85" t="s">
        <v>20</v>
      </c>
      <c r="H66" s="85" t="s">
        <v>102</v>
      </c>
    </row>
    <row r="67" spans="1:8" ht="13">
      <c r="A67" s="85" t="s">
        <v>936</v>
      </c>
      <c r="B67" s="85" t="s">
        <v>73</v>
      </c>
      <c r="C67" s="85">
        <v>2</v>
      </c>
      <c r="D67" s="85" t="str">
        <f t="shared" si="0"/>
        <v>Object-oriented programming::2::Describe the relationship between a class and an object</v>
      </c>
      <c r="E67" s="85" t="s">
        <v>1006</v>
      </c>
      <c r="F67" s="85" t="s">
        <v>960</v>
      </c>
      <c r="G67" s="85" t="s">
        <v>20</v>
      </c>
      <c r="H67" s="85" t="s">
        <v>102</v>
      </c>
    </row>
    <row r="68" spans="1:8" ht="13">
      <c r="A68" s="85" t="s">
        <v>936</v>
      </c>
      <c r="B68" s="85" t="s">
        <v>73</v>
      </c>
      <c r="C68" s="85">
        <v>2</v>
      </c>
      <c r="D68" s="85" t="str">
        <f t="shared" si="0"/>
        <v>Object-oriented programming::2::Define attributes and methods as a part of a class</v>
      </c>
      <c r="E68" s="85" t="s">
        <v>1007</v>
      </c>
      <c r="F68" s="85" t="s">
        <v>960</v>
      </c>
      <c r="G68" s="85" t="s">
        <v>20</v>
      </c>
      <c r="H68" s="85" t="s">
        <v>102</v>
      </c>
    </row>
    <row r="69" spans="1:8" ht="13">
      <c r="A69" s="85" t="s">
        <v>936</v>
      </c>
      <c r="B69" s="85" t="s">
        <v>73</v>
      </c>
      <c r="C69" s="85">
        <v>2</v>
      </c>
      <c r="D69" s="85" t="str">
        <f t="shared" si="0"/>
        <v>Object-oriented programming::2::Use a constructor to create objects</v>
      </c>
      <c r="E69" s="85" t="s">
        <v>1008</v>
      </c>
      <c r="F69" s="85" t="s">
        <v>960</v>
      </c>
      <c r="G69" s="85" t="s">
        <v>20</v>
      </c>
      <c r="H69" s="85" t="s">
        <v>102</v>
      </c>
    </row>
    <row r="70" spans="1:8" ht="13">
      <c r="A70" s="85" t="s">
        <v>936</v>
      </c>
      <c r="B70" s="85" t="s">
        <v>73</v>
      </c>
      <c r="C70" s="85">
        <v>2</v>
      </c>
      <c r="D70" s="85" t="str">
        <f t="shared" si="0"/>
        <v>Object-oriented programming::2::Use a method and access an attribute on an object</v>
      </c>
      <c r="E70" s="85" t="s">
        <v>1009</v>
      </c>
      <c r="F70" s="85" t="s">
        <v>960</v>
      </c>
      <c r="G70" s="85" t="s">
        <v>20</v>
      </c>
      <c r="H70" s="85" t="s">
        <v>102</v>
      </c>
    </row>
    <row r="71" spans="1:8" ht="13">
      <c r="A71" s="85" t="s">
        <v>936</v>
      </c>
      <c r="B71" s="85" t="s">
        <v>73</v>
      </c>
      <c r="C71" s="85">
        <v>2</v>
      </c>
      <c r="D71" s="85" t="str">
        <f t="shared" si="0"/>
        <v>Object-oriented programming::2::Model a real world problem using object oriented programming conventions</v>
      </c>
      <c r="E71" s="85" t="s">
        <v>1010</v>
      </c>
      <c r="F71" s="85" t="s">
        <v>960</v>
      </c>
      <c r="G71" s="85" t="s">
        <v>169</v>
      </c>
      <c r="H71" s="85" t="s">
        <v>102</v>
      </c>
    </row>
    <row r="72" spans="1:8" ht="13">
      <c r="A72" s="85" t="s">
        <v>936</v>
      </c>
      <c r="B72" s="85" t="s">
        <v>73</v>
      </c>
      <c r="C72" s="85">
        <v>3</v>
      </c>
      <c r="D72" s="85" t="str">
        <f t="shared" si="0"/>
        <v>Object-oriented programming::3::Create a class</v>
      </c>
      <c r="E72" s="85" t="s">
        <v>1011</v>
      </c>
      <c r="F72" s="85" t="s">
        <v>960</v>
      </c>
      <c r="G72" s="85" t="s">
        <v>20</v>
      </c>
      <c r="H72" s="85" t="s">
        <v>102</v>
      </c>
    </row>
    <row r="73" spans="1:8" ht="13">
      <c r="A73" s="85" t="s">
        <v>936</v>
      </c>
      <c r="B73" s="85" t="s">
        <v>73</v>
      </c>
      <c r="C73" s="85">
        <v>3</v>
      </c>
      <c r="D73" s="85" t="str">
        <f t="shared" si="0"/>
        <v>Object-oriented programming::3::Define the use of a self parameter in object-oriented Python</v>
      </c>
      <c r="E73" s="85" t="s">
        <v>1012</v>
      </c>
      <c r="F73" s="85" t="s">
        <v>960</v>
      </c>
      <c r="G73" s="85" t="s">
        <v>20</v>
      </c>
      <c r="H73" s="85" t="s">
        <v>102</v>
      </c>
    </row>
    <row r="74" spans="1:8" ht="13">
      <c r="A74" s="85" t="s">
        <v>936</v>
      </c>
      <c r="B74" s="85" t="s">
        <v>73</v>
      </c>
      <c r="C74" s="85">
        <v>3</v>
      </c>
      <c r="D74" s="85" t="str">
        <f t="shared" si="0"/>
        <v>Object-oriented programming::3::Create a method on a class</v>
      </c>
      <c r="E74" s="85" t="s">
        <v>1013</v>
      </c>
      <c r="F74" s="85" t="s">
        <v>960</v>
      </c>
      <c r="G74" s="85" t="s">
        <v>20</v>
      </c>
      <c r="H74" s="85" t="s">
        <v>102</v>
      </c>
    </row>
    <row r="75" spans="1:8" ht="13">
      <c r="A75" s="85" t="s">
        <v>936</v>
      </c>
      <c r="B75" s="85" t="s">
        <v>73</v>
      </c>
      <c r="C75" s="85">
        <v>3</v>
      </c>
      <c r="D75" s="85" t="str">
        <f t="shared" si="0"/>
        <v>Object-oriented programming::3::Access and modify attributes using getters and setters</v>
      </c>
      <c r="E75" s="85" t="s">
        <v>1014</v>
      </c>
      <c r="F75" s="85" t="s">
        <v>960</v>
      </c>
      <c r="G75" s="85" t="s">
        <v>20</v>
      </c>
      <c r="H75" s="85" t="s">
        <v>102</v>
      </c>
    </row>
    <row r="76" spans="1:8" ht="13">
      <c r="A76" s="85" t="s">
        <v>936</v>
      </c>
      <c r="B76" s="85" t="s">
        <v>73</v>
      </c>
      <c r="C76" s="85">
        <v>4</v>
      </c>
      <c r="D76" s="85" t="str">
        <f t="shared" si="0"/>
        <v>Object-oriented programming::4::Define the principle of inheritance</v>
      </c>
      <c r="E76" s="85" t="s">
        <v>1015</v>
      </c>
      <c r="F76" s="85" t="s">
        <v>960</v>
      </c>
      <c r="G76" s="85" t="s">
        <v>20</v>
      </c>
      <c r="H76" s="85" t="s">
        <v>102</v>
      </c>
    </row>
    <row r="77" spans="1:8" ht="13">
      <c r="A77" s="85" t="s">
        <v>936</v>
      </c>
      <c r="B77" s="85" t="s">
        <v>73</v>
      </c>
      <c r="C77" s="85">
        <v>4</v>
      </c>
      <c r="D77" s="85" t="str">
        <f t="shared" si="0"/>
        <v>Object-oriented programming::4::Define the terms superclass and subclass</v>
      </c>
      <c r="E77" s="85" t="s">
        <v>1016</v>
      </c>
      <c r="F77" s="85" t="s">
        <v>960</v>
      </c>
      <c r="G77" s="85" t="s">
        <v>20</v>
      </c>
      <c r="H77" s="85" t="s">
        <v>102</v>
      </c>
    </row>
    <row r="78" spans="1:8" ht="13">
      <c r="A78" s="85" t="s">
        <v>936</v>
      </c>
      <c r="B78" s="85" t="s">
        <v>73</v>
      </c>
      <c r="C78" s="85">
        <v>4</v>
      </c>
      <c r="D78" s="85" t="str">
        <f t="shared" si="0"/>
        <v>Object-oriented programming::4::Select appropriate uses of inheritance</v>
      </c>
      <c r="E78" s="85" t="s">
        <v>1017</v>
      </c>
      <c r="F78" s="85" t="s">
        <v>960</v>
      </c>
      <c r="G78" s="85" t="s">
        <v>20</v>
      </c>
      <c r="H78" s="85" t="s">
        <v>102</v>
      </c>
    </row>
    <row r="79" spans="1:8" ht="13">
      <c r="A79" s="85" t="s">
        <v>936</v>
      </c>
      <c r="B79" s="85" t="s">
        <v>73</v>
      </c>
      <c r="C79" s="85">
        <v>4</v>
      </c>
      <c r="D79" s="85" t="str">
        <f t="shared" si="0"/>
        <v>Object-oriented programming::4::Create a subclass in a program</v>
      </c>
      <c r="E79" s="85" t="s">
        <v>1018</v>
      </c>
      <c r="F79" s="85" t="s">
        <v>960</v>
      </c>
      <c r="G79" s="85" t="s">
        <v>20</v>
      </c>
      <c r="H79" s="85" t="s">
        <v>102</v>
      </c>
    </row>
    <row r="80" spans="1:8" ht="13">
      <c r="A80" s="85" t="s">
        <v>936</v>
      </c>
      <c r="B80" s="85" t="s">
        <v>73</v>
      </c>
      <c r="C80" s="85">
        <v>5</v>
      </c>
      <c r="D80" s="85" t="str">
        <f t="shared" si="0"/>
        <v>Object-oriented programming::5::Explore a program written using OOP</v>
      </c>
      <c r="E80" s="85" t="s">
        <v>1019</v>
      </c>
      <c r="F80" s="85" t="s">
        <v>960</v>
      </c>
      <c r="G80" s="85" t="s">
        <v>20</v>
      </c>
      <c r="H80" s="85" t="s">
        <v>102</v>
      </c>
    </row>
    <row r="81" spans="1:8" ht="13">
      <c r="A81" s="85" t="s">
        <v>936</v>
      </c>
      <c r="B81" s="85" t="s">
        <v>73</v>
      </c>
      <c r="C81" s="85">
        <v>5</v>
      </c>
      <c r="D81" s="85" t="str">
        <f t="shared" si="0"/>
        <v>Object-oriented programming::5::Explain the key concepts of OOP</v>
      </c>
      <c r="E81" s="85" t="s">
        <v>1020</v>
      </c>
      <c r="F81" s="85" t="s">
        <v>960</v>
      </c>
      <c r="G81" s="85" t="s">
        <v>20</v>
      </c>
      <c r="H81" s="85" t="s">
        <v>102</v>
      </c>
    </row>
    <row r="82" spans="1:8" ht="13">
      <c r="A82" s="85" t="s">
        <v>936</v>
      </c>
      <c r="B82" s="85" t="s">
        <v>1021</v>
      </c>
      <c r="C82" s="85">
        <v>1</v>
      </c>
      <c r="D82" s="85" t="str">
        <f t="shared" si="0"/>
        <v>Online safety::1::Discuss the main safety concerns of being online</v>
      </c>
      <c r="E82" s="85" t="s">
        <v>1022</v>
      </c>
      <c r="F82" s="85">
        <v>4.3</v>
      </c>
      <c r="G82" s="85" t="s">
        <v>25</v>
      </c>
      <c r="H82" s="85" t="s">
        <v>66</v>
      </c>
    </row>
    <row r="83" spans="1:8" ht="13">
      <c r="A83" s="85" t="s">
        <v>936</v>
      </c>
      <c r="B83" s="85" t="s">
        <v>1021</v>
      </c>
      <c r="C83" s="85">
        <v>1</v>
      </c>
      <c r="D83" s="85" t="str">
        <f t="shared" si="0"/>
        <v>Online safety::1::Reflect on online activity from a safety perspective</v>
      </c>
      <c r="E83" s="85" t="s">
        <v>1023</v>
      </c>
      <c r="F83" s="85">
        <v>4.3</v>
      </c>
      <c r="G83" s="85" t="s">
        <v>25</v>
      </c>
      <c r="H83" s="85" t="s">
        <v>66</v>
      </c>
    </row>
    <row r="84" spans="1:8" ht="13">
      <c r="A84" s="85" t="s">
        <v>936</v>
      </c>
      <c r="B84" s="85" t="s">
        <v>1021</v>
      </c>
      <c r="C84" s="85">
        <v>2</v>
      </c>
      <c r="D84" s="85" t="str">
        <f t="shared" si="0"/>
        <v>Online safety::2::Define online reputation and discuss what it is made up of</v>
      </c>
      <c r="E84" s="85" t="s">
        <v>1024</v>
      </c>
      <c r="F84" s="85">
        <v>4.3</v>
      </c>
      <c r="G84" s="85" t="s">
        <v>25</v>
      </c>
      <c r="H84" s="85" t="s">
        <v>66</v>
      </c>
    </row>
    <row r="85" spans="1:8" ht="13">
      <c r="A85" s="85" t="s">
        <v>936</v>
      </c>
      <c r="B85" s="85" t="s">
        <v>1021</v>
      </c>
      <c r="C85" s="85">
        <v>2</v>
      </c>
      <c r="D85" s="85" t="str">
        <f t="shared" si="0"/>
        <v>Online safety::2::Discuss techniques on how to build a positive online reputation</v>
      </c>
      <c r="E85" s="85" t="s">
        <v>1025</v>
      </c>
      <c r="F85" s="85">
        <v>4.3</v>
      </c>
      <c r="G85" s="85" t="s">
        <v>25</v>
      </c>
      <c r="H85" s="85" t="s">
        <v>66</v>
      </c>
    </row>
    <row r="86" spans="1:8" ht="13">
      <c r="A86" s="85" t="s">
        <v>936</v>
      </c>
      <c r="B86" s="85" t="s">
        <v>1021</v>
      </c>
      <c r="C86" s="85">
        <v>2</v>
      </c>
      <c r="D86" s="85" t="str">
        <f t="shared" si="0"/>
        <v>Online safety::2::Discuss the ways in which one’s online reputation might be under threat and how to defend it</v>
      </c>
      <c r="E86" s="85" t="s">
        <v>1026</v>
      </c>
      <c r="F86" s="85">
        <v>4.3</v>
      </c>
      <c r="G86" s="85" t="s">
        <v>25</v>
      </c>
      <c r="H86" s="85" t="s">
        <v>66</v>
      </c>
    </row>
    <row r="87" spans="1:8" ht="13">
      <c r="A87" s="85" t="s">
        <v>936</v>
      </c>
      <c r="B87" s="85" t="s">
        <v>1021</v>
      </c>
      <c r="C87" s="85">
        <v>3</v>
      </c>
      <c r="D87" s="85" t="str">
        <f t="shared" si="0"/>
        <v>Online safety::3::Define the terms ‘big data’ and ‘data analytics’</v>
      </c>
      <c r="E87" s="85" t="s">
        <v>1027</v>
      </c>
      <c r="F87" s="85">
        <v>4.3</v>
      </c>
      <c r="G87" s="85" t="s">
        <v>10</v>
      </c>
      <c r="H87" s="85" t="s">
        <v>66</v>
      </c>
    </row>
    <row r="88" spans="1:8" ht="13">
      <c r="A88" s="85" t="s">
        <v>936</v>
      </c>
      <c r="B88" s="85" t="s">
        <v>1021</v>
      </c>
      <c r="C88" s="85">
        <v>3</v>
      </c>
      <c r="D88" s="85" t="str">
        <f t="shared" si="0"/>
        <v>Online safety::3::Discuss the ethics of big data use</v>
      </c>
      <c r="E88" s="85" t="s">
        <v>1028</v>
      </c>
      <c r="F88" s="85">
        <v>4.3</v>
      </c>
      <c r="G88" s="85" t="s">
        <v>853</v>
      </c>
      <c r="H88" s="85" t="s">
        <v>66</v>
      </c>
    </row>
    <row r="89" spans="1:8" ht="13">
      <c r="A89" s="85" t="s">
        <v>936</v>
      </c>
      <c r="B89" s="85" t="s">
        <v>1021</v>
      </c>
      <c r="C89" s="85">
        <v>3</v>
      </c>
      <c r="D89" s="85" t="str">
        <f t="shared" si="0"/>
        <v>Online safety::3::Investigate the stakeholders who use big data and why</v>
      </c>
      <c r="E89" s="85" t="s">
        <v>1029</v>
      </c>
      <c r="F89" s="85">
        <v>4.3</v>
      </c>
      <c r="G89" s="85" t="s">
        <v>853</v>
      </c>
      <c r="H89" s="85" t="s">
        <v>66</v>
      </c>
    </row>
    <row r="90" spans="1:8" ht="13">
      <c r="A90" s="85" t="s">
        <v>936</v>
      </c>
      <c r="B90" s="85" t="s">
        <v>1021</v>
      </c>
      <c r="C90" s="85">
        <v>3</v>
      </c>
      <c r="D90" s="85" t="str">
        <f t="shared" si="0"/>
        <v>Online safety::3::Explain how data is collected on and how it is used</v>
      </c>
      <c r="E90" s="85" t="s">
        <v>1030</v>
      </c>
      <c r="F90" s="85">
        <v>4.3</v>
      </c>
      <c r="G90" s="85" t="s">
        <v>831</v>
      </c>
      <c r="H90" s="85" t="s">
        <v>66</v>
      </c>
    </row>
    <row r="91" spans="1:8" ht="13">
      <c r="A91" s="85" t="s">
        <v>936</v>
      </c>
      <c r="B91" s="85" t="s">
        <v>1021</v>
      </c>
      <c r="C91" s="85">
        <v>4</v>
      </c>
      <c r="D91" s="85" t="str">
        <f t="shared" si="0"/>
        <v>Online safety::4::Investigate the legal rights to privacy within the UK</v>
      </c>
      <c r="E91" s="85" t="s">
        <v>1031</v>
      </c>
      <c r="F91" s="85">
        <v>4.3</v>
      </c>
      <c r="G91" s="85" t="s">
        <v>16</v>
      </c>
      <c r="H91" s="85" t="s">
        <v>66</v>
      </c>
    </row>
    <row r="92" spans="1:8" ht="13">
      <c r="A92" s="85" t="s">
        <v>936</v>
      </c>
      <c r="B92" s="85" t="s">
        <v>1021</v>
      </c>
      <c r="C92" s="85">
        <v>4</v>
      </c>
      <c r="D92" s="85" t="str">
        <f t="shared" si="0"/>
        <v>Online safety::4::Discuss which rights are believed to be upheld</v>
      </c>
      <c r="E92" s="85" t="s">
        <v>1032</v>
      </c>
      <c r="F92" s="85">
        <v>4.3</v>
      </c>
      <c r="G92" s="85" t="s">
        <v>16</v>
      </c>
      <c r="H92" s="85" t="s">
        <v>66</v>
      </c>
    </row>
    <row r="93" spans="1:8" ht="13">
      <c r="A93" s="85" t="s">
        <v>936</v>
      </c>
      <c r="B93" s="85" t="s">
        <v>1021</v>
      </c>
      <c r="C93" s="85">
        <v>4</v>
      </c>
      <c r="D93" s="85" t="str">
        <f t="shared" si="0"/>
        <v>Online safety::4::Debate whether the right to privacy is important, why this might be the case, and if the right to privacy is in tension with any other rights</v>
      </c>
      <c r="E93" s="85" t="s">
        <v>1033</v>
      </c>
      <c r="F93" s="85">
        <v>4.3</v>
      </c>
      <c r="G93" s="85" t="s">
        <v>16</v>
      </c>
      <c r="H93" s="85" t="s">
        <v>66</v>
      </c>
    </row>
    <row r="94" spans="1:8" ht="13">
      <c r="A94" s="85" t="s">
        <v>936</v>
      </c>
      <c r="B94" s="85" t="s">
        <v>1021</v>
      </c>
      <c r="C94" s="85">
        <v>5</v>
      </c>
      <c r="D94" s="85" t="str">
        <f t="shared" si="0"/>
        <v>Online safety::5::Evaluate what data created online is valuable, and to whom</v>
      </c>
      <c r="E94" s="85" t="s">
        <v>1034</v>
      </c>
      <c r="F94" s="85">
        <v>4.3</v>
      </c>
      <c r="G94" s="85" t="s">
        <v>853</v>
      </c>
      <c r="H94" s="85" t="s">
        <v>66</v>
      </c>
    </row>
    <row r="95" spans="1:8" ht="13">
      <c r="A95" s="85" t="s">
        <v>936</v>
      </c>
      <c r="B95" s="85" t="s">
        <v>1021</v>
      </c>
      <c r="C95" s="85">
        <v>5</v>
      </c>
      <c r="D95" s="85" t="str">
        <f t="shared" si="0"/>
        <v>Online safety::5::Discuss ways in which data might be stolen</v>
      </c>
      <c r="E95" s="85" t="s">
        <v>1035</v>
      </c>
      <c r="F95" s="85">
        <v>4.3</v>
      </c>
      <c r="G95" s="85" t="s">
        <v>831</v>
      </c>
      <c r="H95" s="85" t="s">
        <v>66</v>
      </c>
    </row>
    <row r="96" spans="1:8" ht="13">
      <c r="A96" s="85" t="s">
        <v>936</v>
      </c>
      <c r="B96" s="85" t="s">
        <v>1021</v>
      </c>
      <c r="C96" s="85">
        <v>5</v>
      </c>
      <c r="D96" s="85" t="str">
        <f t="shared" si="0"/>
        <v>Online safety::5::Define terms ‘phishing’ and ‘malware’</v>
      </c>
      <c r="E96" s="85" t="s">
        <v>1036</v>
      </c>
      <c r="F96" s="85">
        <v>4.3</v>
      </c>
      <c r="G96" s="85" t="s">
        <v>25</v>
      </c>
      <c r="H96" s="85" t="s">
        <v>66</v>
      </c>
    </row>
    <row r="97" spans="1:8" ht="13">
      <c r="A97" s="85" t="s">
        <v>936</v>
      </c>
      <c r="B97" s="85" t="s">
        <v>1021</v>
      </c>
      <c r="C97" s="85">
        <v>5</v>
      </c>
      <c r="D97" s="85" t="str">
        <f t="shared" si="0"/>
        <v>Online safety::5::Identify ways to protect one’s data online</v>
      </c>
      <c r="E97" s="85" t="s">
        <v>1037</v>
      </c>
      <c r="F97" s="85">
        <v>4.3</v>
      </c>
      <c r="G97" s="85" t="s">
        <v>25</v>
      </c>
      <c r="H97" s="85" t="s">
        <v>66</v>
      </c>
    </row>
    <row r="98" spans="1:8" ht="13">
      <c r="A98" s="85" t="s">
        <v>936</v>
      </c>
      <c r="B98" s="85" t="s">
        <v>1021</v>
      </c>
      <c r="C98" s="85">
        <v>6</v>
      </c>
      <c r="D98" s="85" t="str">
        <f t="shared" si="0"/>
        <v>Online safety::6::Discuss examples of disinformation spread online</v>
      </c>
      <c r="E98" s="85" t="s">
        <v>1038</v>
      </c>
      <c r="F98" s="85">
        <v>4.3</v>
      </c>
      <c r="G98" s="85" t="s">
        <v>16</v>
      </c>
      <c r="H98" s="85" t="s">
        <v>66</v>
      </c>
    </row>
    <row r="99" spans="1:8" ht="13">
      <c r="A99" s="85" t="s">
        <v>936</v>
      </c>
      <c r="B99" s="85" t="s">
        <v>1021</v>
      </c>
      <c r="C99" s="85">
        <v>6</v>
      </c>
      <c r="D99" s="85" t="str">
        <f t="shared" si="0"/>
        <v>Online safety::6::Define the term ‘fake news’ and discuss the quantity of fake news available online</v>
      </c>
      <c r="E99" s="85" t="s">
        <v>1039</v>
      </c>
      <c r="F99" s="85">
        <v>4.3</v>
      </c>
      <c r="G99" s="85" t="s">
        <v>16</v>
      </c>
      <c r="H99" s="85" t="s">
        <v>66</v>
      </c>
    </row>
    <row r="100" spans="1:8" ht="13">
      <c r="A100" s="85" t="s">
        <v>936</v>
      </c>
      <c r="B100" s="85" t="s">
        <v>1021</v>
      </c>
      <c r="C100" s="85">
        <v>6</v>
      </c>
      <c r="D100" s="85" t="str">
        <f t="shared" si="0"/>
        <v>Online safety::6::Identify why fake news exists and who creates it</v>
      </c>
      <c r="E100" s="85" t="s">
        <v>1040</v>
      </c>
      <c r="F100" s="85">
        <v>4.3</v>
      </c>
      <c r="G100" s="85" t="s">
        <v>16</v>
      </c>
      <c r="H100" s="85" t="s">
        <v>66</v>
      </c>
    </row>
    <row r="101" spans="1:8" ht="13">
      <c r="A101" s="85" t="s">
        <v>936</v>
      </c>
      <c r="B101" s="85" t="s">
        <v>1021</v>
      </c>
      <c r="C101" s="85">
        <v>6</v>
      </c>
      <c r="D101" s="85" t="str">
        <f t="shared" si="0"/>
        <v>Online safety::6::Discuss ways of identifying fake news and other forms of disinformation</v>
      </c>
      <c r="E101" s="85" t="s">
        <v>1041</v>
      </c>
      <c r="F101" s="85">
        <v>4.3</v>
      </c>
      <c r="G101" s="85" t="s">
        <v>16</v>
      </c>
      <c r="H101" s="85" t="s">
        <v>66</v>
      </c>
    </row>
    <row r="102" spans="1:8" ht="13">
      <c r="A102" s="85" t="s">
        <v>936</v>
      </c>
      <c r="B102" s="85" t="s">
        <v>1021</v>
      </c>
      <c r="C102" s="85">
        <v>7</v>
      </c>
      <c r="D102" s="85" t="str">
        <f t="shared" si="0"/>
        <v>Online safety::7::Explain why some content online can be potentially harmful</v>
      </c>
      <c r="E102" s="85" t="s">
        <v>1042</v>
      </c>
      <c r="F102" s="85">
        <v>4.3</v>
      </c>
      <c r="G102" s="85" t="s">
        <v>16</v>
      </c>
      <c r="H102" s="85" t="s">
        <v>66</v>
      </c>
    </row>
    <row r="103" spans="1:8" ht="13">
      <c r="A103" s="85" t="s">
        <v>936</v>
      </c>
      <c r="B103" s="85" t="s">
        <v>1021</v>
      </c>
      <c r="C103" s="85">
        <v>7</v>
      </c>
      <c r="D103" s="85" t="str">
        <f t="shared" si="0"/>
        <v>Online safety::7::Describe the UK laws governing online content</v>
      </c>
      <c r="E103" s="85" t="s">
        <v>1043</v>
      </c>
      <c r="F103" s="85">
        <v>4.3</v>
      </c>
      <c r="G103" s="85" t="s">
        <v>16</v>
      </c>
      <c r="H103" s="85" t="s">
        <v>66</v>
      </c>
    </row>
    <row r="104" spans="1:8" ht="13">
      <c r="A104" s="85" t="s">
        <v>936</v>
      </c>
      <c r="B104" s="85" t="s">
        <v>1021</v>
      </c>
      <c r="C104" s="85">
        <v>7</v>
      </c>
      <c r="D104" s="85" t="str">
        <f t="shared" si="0"/>
        <v>Online safety::7::Discuss why policing online spaces can be difficult</v>
      </c>
      <c r="E104" s="85" t="s">
        <v>1044</v>
      </c>
      <c r="F104" s="85">
        <v>4.3</v>
      </c>
      <c r="G104" s="85" t="s">
        <v>623</v>
      </c>
      <c r="H104" s="85" t="s">
        <v>66</v>
      </c>
    </row>
    <row r="105" spans="1:8" ht="13">
      <c r="A105" s="85" t="s">
        <v>936</v>
      </c>
      <c r="B105" s="85" t="s">
        <v>1021</v>
      </c>
      <c r="C105" s="85">
        <v>7</v>
      </c>
      <c r="D105" s="85" t="str">
        <f t="shared" si="0"/>
        <v>Online safety::7::Demonstrate how to report illegal online content</v>
      </c>
      <c r="E105" s="85" t="s">
        <v>1045</v>
      </c>
      <c r="F105" s="85">
        <v>4.3</v>
      </c>
      <c r="G105" s="85" t="s">
        <v>623</v>
      </c>
      <c r="H105" s="85" t="s">
        <v>66</v>
      </c>
    </row>
    <row r="106" spans="1:8" ht="13">
      <c r="A106" s="85" t="s">
        <v>936</v>
      </c>
      <c r="B106" s="85" t="s">
        <v>1021</v>
      </c>
      <c r="C106" s="85">
        <v>8</v>
      </c>
      <c r="D106" s="85" t="str">
        <f t="shared" si="0"/>
        <v>Online safety::8::Discuss how we decide what content should be illegal</v>
      </c>
      <c r="E106" s="85" t="s">
        <v>1046</v>
      </c>
      <c r="F106" s="85">
        <v>4.3</v>
      </c>
      <c r="G106" s="85" t="s">
        <v>623</v>
      </c>
      <c r="H106" s="85" t="s">
        <v>66</v>
      </c>
    </row>
    <row r="107" spans="1:8" ht="13">
      <c r="A107" s="85" t="s">
        <v>936</v>
      </c>
      <c r="B107" s="85" t="s">
        <v>1021</v>
      </c>
      <c r="C107" s="85">
        <v>8</v>
      </c>
      <c r="D107" s="85" t="str">
        <f t="shared" si="0"/>
        <v>Online safety::8::Debate the right to access information in the context of safety concerns online already discussed in this unit</v>
      </c>
      <c r="E107" s="85" t="s">
        <v>1047</v>
      </c>
      <c r="F107" s="85">
        <v>4.3</v>
      </c>
      <c r="G107" s="85" t="s">
        <v>623</v>
      </c>
      <c r="H107" s="85" t="s">
        <v>66</v>
      </c>
    </row>
    <row r="108" spans="1:8" ht="13">
      <c r="A108" s="85" t="s">
        <v>936</v>
      </c>
      <c r="B108" s="85" t="s">
        <v>1021</v>
      </c>
      <c r="C108" s="85">
        <v>8</v>
      </c>
      <c r="D108" s="85" t="str">
        <f t="shared" si="0"/>
        <v>Online safety::8::Compare UK laws with those in other countries</v>
      </c>
      <c r="E108" s="85" t="s">
        <v>1048</v>
      </c>
      <c r="F108" s="85">
        <v>4.3</v>
      </c>
      <c r="G108" s="85" t="s">
        <v>16</v>
      </c>
      <c r="H108" s="85" t="s">
        <v>66</v>
      </c>
    </row>
    <row r="109" spans="1:8" ht="13">
      <c r="A109" s="85" t="s">
        <v>936</v>
      </c>
      <c r="B109" s="85" t="s">
        <v>1021</v>
      </c>
      <c r="C109" s="85">
        <v>8</v>
      </c>
      <c r="D109" s="85" t="str">
        <f t="shared" si="0"/>
        <v>Online safety::8::Discover different technologies used to access and share information online</v>
      </c>
      <c r="E109" s="85" t="s">
        <v>1049</v>
      </c>
      <c r="F109" s="85">
        <v>4.3</v>
      </c>
      <c r="G109" s="85" t="s">
        <v>179</v>
      </c>
      <c r="H109" s="85" t="s">
        <v>66</v>
      </c>
    </row>
    <row r="110" spans="1:8" ht="13">
      <c r="A110" s="85" t="s">
        <v>936</v>
      </c>
      <c r="B110" s="85" t="s">
        <v>1021</v>
      </c>
      <c r="C110" s="85">
        <v>9</v>
      </c>
      <c r="D110" s="85" t="str">
        <f t="shared" si="0"/>
        <v>Online safety::9::Reflect on how big data and other tools help to target information to specific users</v>
      </c>
      <c r="E110" s="85" t="s">
        <v>1050</v>
      </c>
      <c r="F110" s="85">
        <v>4.3</v>
      </c>
      <c r="G110" s="85" t="s">
        <v>853</v>
      </c>
      <c r="H110" s="85" t="s">
        <v>66</v>
      </c>
    </row>
    <row r="111" spans="1:8" ht="13">
      <c r="A111" s="85" t="s">
        <v>936</v>
      </c>
      <c r="B111" s="85" t="s">
        <v>1021</v>
      </c>
      <c r="C111" s="85">
        <v>9</v>
      </c>
      <c r="D111" s="85" t="str">
        <f t="shared" si="0"/>
        <v>Online safety::9::Discuss the impact this might have on different people’s online experiences and the potential disadvantages of living in an online bubble</v>
      </c>
      <c r="E111" s="85" t="s">
        <v>1051</v>
      </c>
      <c r="F111" s="85">
        <v>4.3</v>
      </c>
      <c r="G111" s="85" t="s">
        <v>831</v>
      </c>
      <c r="H111" s="85" t="s">
        <v>66</v>
      </c>
    </row>
    <row r="112" spans="1:8" ht="13">
      <c r="A112" s="85" t="s">
        <v>936</v>
      </c>
      <c r="B112" s="85" t="s">
        <v>1021</v>
      </c>
      <c r="C112" s="85">
        <v>10</v>
      </c>
      <c r="D112" s="85" t="str">
        <f t="shared" si="0"/>
        <v>Online safety::10::Contemplate the potential harms of being online</v>
      </c>
      <c r="E112" s="85" t="s">
        <v>1052</v>
      </c>
      <c r="F112" s="85">
        <v>4.3</v>
      </c>
      <c r="G112" s="85" t="s">
        <v>366</v>
      </c>
      <c r="H112" s="85" t="s">
        <v>66</v>
      </c>
    </row>
    <row r="113" spans="1:8" ht="13">
      <c r="A113" s="85" t="s">
        <v>936</v>
      </c>
      <c r="B113" s="85" t="s">
        <v>1021</v>
      </c>
      <c r="C113" s="85">
        <v>10</v>
      </c>
      <c r="D113" s="85" t="str">
        <f t="shared" si="0"/>
        <v>Online safety::10::Determine practical actions that can be made to protect oneself online</v>
      </c>
      <c r="E113" s="85" t="s">
        <v>1053</v>
      </c>
      <c r="F113" s="85">
        <v>4.3</v>
      </c>
      <c r="G113" s="85" t="s">
        <v>366</v>
      </c>
      <c r="H113" s="85" t="s">
        <v>66</v>
      </c>
    </row>
    <row r="114" spans="1:8" ht="13">
      <c r="A114" s="85" t="s">
        <v>936</v>
      </c>
      <c r="B114" s="85" t="s">
        <v>1021</v>
      </c>
      <c r="C114" s="85">
        <v>10</v>
      </c>
      <c r="D114" s="85" t="str">
        <f t="shared" si="0"/>
        <v>Online safety::10::Summarise key aspects of online safety</v>
      </c>
      <c r="E114" s="85" t="s">
        <v>1054</v>
      </c>
      <c r="F114" s="85">
        <v>4.3</v>
      </c>
      <c r="G114" s="85" t="s">
        <v>1055</v>
      </c>
      <c r="H114" s="85" t="s">
        <v>66</v>
      </c>
    </row>
    <row r="115" spans="1:8" ht="13">
      <c r="A115" s="85" t="s">
        <v>936</v>
      </c>
      <c r="B115" s="85" t="s">
        <v>1056</v>
      </c>
      <c r="C115" s="85">
        <v>1</v>
      </c>
      <c r="D115" s="85" t="str">
        <f t="shared" si="0"/>
        <v>Spreadsheets::1::Create a spreadsheet model for a given scenario</v>
      </c>
      <c r="E115" s="85" t="s">
        <v>1057</v>
      </c>
      <c r="F115" s="85" t="s">
        <v>960</v>
      </c>
      <c r="G115" s="85" t="s">
        <v>223</v>
      </c>
      <c r="H115" s="85" t="s">
        <v>102</v>
      </c>
    </row>
    <row r="116" spans="1:8" ht="13">
      <c r="A116" s="85" t="s">
        <v>936</v>
      </c>
      <c r="B116" s="85" t="s">
        <v>1056</v>
      </c>
      <c r="C116" s="85">
        <v>1</v>
      </c>
      <c r="D116" s="85" t="str">
        <f t="shared" si="0"/>
        <v>Spreadsheets::1::Demonstrate how to use formulae to perform calculations</v>
      </c>
      <c r="E116" s="85" t="s">
        <v>1058</v>
      </c>
      <c r="F116" s="85" t="s">
        <v>960</v>
      </c>
      <c r="G116" s="85" t="s">
        <v>579</v>
      </c>
      <c r="H116" s="85" t="s">
        <v>102</v>
      </c>
    </row>
    <row r="117" spans="1:8" ht="13">
      <c r="A117" s="85" t="s">
        <v>936</v>
      </c>
      <c r="B117" s="85" t="s">
        <v>1056</v>
      </c>
      <c r="C117" s="85">
        <v>1</v>
      </c>
      <c r="D117" s="85" t="str">
        <f t="shared" si="0"/>
        <v>Spreadsheets::1::Apply cell formatting</v>
      </c>
      <c r="E117" s="85" t="s">
        <v>1059</v>
      </c>
      <c r="F117" s="85" t="s">
        <v>960</v>
      </c>
      <c r="G117" s="85" t="s">
        <v>223</v>
      </c>
      <c r="H117" s="85" t="s">
        <v>102</v>
      </c>
    </row>
    <row r="118" spans="1:8" ht="13">
      <c r="A118" s="85" t="s">
        <v>936</v>
      </c>
      <c r="B118" s="85" t="s">
        <v>1056</v>
      </c>
      <c r="C118" s="85">
        <v>2</v>
      </c>
      <c r="D118" s="85" t="str">
        <f t="shared" si="0"/>
        <v>Spreadsheets::2::Implement formatting to make the spreadsheet readable and to highlight different specific information</v>
      </c>
      <c r="E118" s="85" t="s">
        <v>1060</v>
      </c>
      <c r="F118" s="85" t="s">
        <v>960</v>
      </c>
      <c r="G118" s="85" t="s">
        <v>223</v>
      </c>
      <c r="H118" s="85" t="s">
        <v>102</v>
      </c>
    </row>
    <row r="119" spans="1:8" ht="13">
      <c r="A119" s="85" t="s">
        <v>936</v>
      </c>
      <c r="B119" s="85" t="s">
        <v>1056</v>
      </c>
      <c r="C119" s="85">
        <v>2</v>
      </c>
      <c r="D119" s="85" t="str">
        <f t="shared" si="0"/>
        <v>Spreadsheets::2::Use data validation when entering data in order to reduce user error</v>
      </c>
      <c r="E119" s="85" t="s">
        <v>1061</v>
      </c>
      <c r="F119" s="85" t="s">
        <v>960</v>
      </c>
      <c r="G119" s="85" t="s">
        <v>223</v>
      </c>
      <c r="H119" s="85" t="s">
        <v>102</v>
      </c>
    </row>
    <row r="120" spans="1:8" ht="13">
      <c r="A120" s="85" t="s">
        <v>936</v>
      </c>
      <c r="B120" s="85" t="s">
        <v>1056</v>
      </c>
      <c r="C120" s="85">
        <v>3</v>
      </c>
      <c r="D120" s="85" t="str">
        <f t="shared" si="0"/>
        <v>Spreadsheets::3::Implement conditional formatting techniques</v>
      </c>
      <c r="E120" s="85" t="s">
        <v>1062</v>
      </c>
      <c r="F120" s="85" t="s">
        <v>960</v>
      </c>
      <c r="G120" s="85" t="s">
        <v>579</v>
      </c>
      <c r="H120" s="85" t="s">
        <v>102</v>
      </c>
    </row>
    <row r="121" spans="1:8" ht="13">
      <c r="A121" s="85" t="s">
        <v>936</v>
      </c>
      <c r="B121" s="85" t="s">
        <v>1056</v>
      </c>
      <c r="C121" s="85">
        <v>3</v>
      </c>
      <c r="D121" s="85" t="str">
        <f t="shared" si="0"/>
        <v>Spreadsheets::3::Format cells correctly, e.g. cells representing money should be currency, etc.</v>
      </c>
      <c r="E121" s="85" t="s">
        <v>1063</v>
      </c>
      <c r="F121" s="85" t="s">
        <v>960</v>
      </c>
      <c r="G121" s="85" t="s">
        <v>223</v>
      </c>
      <c r="H121" s="85" t="s">
        <v>102</v>
      </c>
    </row>
    <row r="122" spans="1:8" ht="13">
      <c r="A122" s="85" t="s">
        <v>936</v>
      </c>
      <c r="B122" s="85" t="s">
        <v>1056</v>
      </c>
      <c r="C122" s="85">
        <v>4</v>
      </c>
      <c r="D122" s="85" t="str">
        <f t="shared" si="0"/>
        <v>Spreadsheets::4::Select the most suitable chart to visualise the selected data</v>
      </c>
      <c r="E122" s="85" t="s">
        <v>1064</v>
      </c>
      <c r="F122" s="85" t="s">
        <v>960</v>
      </c>
      <c r="G122" s="85" t="s">
        <v>223</v>
      </c>
      <c r="H122" s="85" t="s">
        <v>102</v>
      </c>
    </row>
    <row r="123" spans="1:8" ht="13">
      <c r="A123" s="85" t="s">
        <v>936</v>
      </c>
      <c r="B123" s="85" t="s">
        <v>1056</v>
      </c>
      <c r="C123" s="85">
        <v>4</v>
      </c>
      <c r="D123" s="85" t="str">
        <f t="shared" si="0"/>
        <v>Spreadsheets::4::Recognise the importance of clear titles and labels</v>
      </c>
      <c r="E123" s="85" t="s">
        <v>1065</v>
      </c>
      <c r="F123" s="85" t="s">
        <v>960</v>
      </c>
      <c r="G123" s="85" t="s">
        <v>223</v>
      </c>
      <c r="H123" s="85" t="s">
        <v>102</v>
      </c>
    </row>
    <row r="124" spans="1:8" ht="13">
      <c r="A124" s="85" t="s">
        <v>936</v>
      </c>
      <c r="B124" s="85" t="s">
        <v>1056</v>
      </c>
      <c r="C124" s="85">
        <v>4</v>
      </c>
      <c r="D124" s="85" t="str">
        <f t="shared" si="0"/>
        <v>Spreadsheets::4::Implement and test a macro to carry out a repetitive task</v>
      </c>
      <c r="E124" s="85" t="s">
        <v>1066</v>
      </c>
      <c r="F124" s="85" t="s">
        <v>960</v>
      </c>
      <c r="G124" s="85" t="s">
        <v>579</v>
      </c>
      <c r="H124" s="85" t="s">
        <v>102</v>
      </c>
    </row>
    <row r="125" spans="1:8" ht="13">
      <c r="A125" s="85" t="s">
        <v>936</v>
      </c>
      <c r="B125" s="85" t="s">
        <v>1056</v>
      </c>
      <c r="C125" s="85">
        <v>5</v>
      </c>
      <c r="D125" s="85" t="str">
        <f t="shared" si="0"/>
        <v>Spreadsheets::5::Implement a LOOKUP function to retrieve data</v>
      </c>
      <c r="E125" s="85" t="s">
        <v>1067</v>
      </c>
      <c r="F125" s="85" t="s">
        <v>960</v>
      </c>
      <c r="G125" s="85" t="s">
        <v>579</v>
      </c>
      <c r="H125" s="85" t="s">
        <v>102</v>
      </c>
    </row>
    <row r="126" spans="1:8" ht="13">
      <c r="A126" s="85" t="s">
        <v>936</v>
      </c>
      <c r="B126" s="85" t="s">
        <v>1056</v>
      </c>
      <c r="C126" s="85">
        <v>5</v>
      </c>
      <c r="D126" s="85" t="str">
        <f t="shared" si="0"/>
        <v>Spreadsheets::5::Implement an IF function to give the user feedback</v>
      </c>
      <c r="E126" s="85" t="s">
        <v>1068</v>
      </c>
      <c r="F126" s="85" t="s">
        <v>960</v>
      </c>
      <c r="G126" s="85" t="s">
        <v>579</v>
      </c>
      <c r="H126" s="85" t="s">
        <v>102</v>
      </c>
    </row>
    <row r="127" spans="1:8" ht="13">
      <c r="A127" s="85" t="s">
        <v>936</v>
      </c>
      <c r="B127" s="85" t="s">
        <v>1056</v>
      </c>
      <c r="C127" s="85">
        <v>6</v>
      </c>
      <c r="D127" s="85" t="str">
        <f t="shared" si="0"/>
        <v>Spreadsheets::6::Demonstrate that skills developed in the lessons can be applied to a different scenario</v>
      </c>
      <c r="E127" s="85" t="s">
        <v>1069</v>
      </c>
      <c r="F127" s="85" t="s">
        <v>960</v>
      </c>
      <c r="G127" s="85" t="s">
        <v>12</v>
      </c>
      <c r="H127" s="85" t="s">
        <v>102</v>
      </c>
    </row>
    <row r="128" spans="1:8" ht="13">
      <c r="A128" s="85" t="s">
        <v>936</v>
      </c>
      <c r="B128" s="85" t="s">
        <v>1056</v>
      </c>
      <c r="C128" s="85">
        <v>6</v>
      </c>
      <c r="D128" s="85" t="str">
        <f t="shared" si="0"/>
        <v>Spreadsheets::6::Solve problems using transferable skills</v>
      </c>
      <c r="E128" s="85" t="s">
        <v>1070</v>
      </c>
      <c r="F128" s="85" t="s">
        <v>960</v>
      </c>
      <c r="G128" s="85" t="s">
        <v>12</v>
      </c>
      <c r="H128" s="85" t="s">
        <v>102</v>
      </c>
    </row>
    <row r="129" spans="1:8" ht="13">
      <c r="A129" s="85" t="s">
        <v>936</v>
      </c>
      <c r="B129" s="85" t="s">
        <v>1056</v>
      </c>
      <c r="C129" s="85">
        <v>6</v>
      </c>
      <c r="D129" s="85" t="str">
        <f t="shared" si="0"/>
        <v>Spreadsheets::6::Think widely about the uses for and purposes of spreadsheets</v>
      </c>
      <c r="E129" s="85" t="s">
        <v>1071</v>
      </c>
      <c r="F129" s="85" t="s">
        <v>960</v>
      </c>
      <c r="G129" s="85" t="s">
        <v>314</v>
      </c>
      <c r="H129" s="85" t="s">
        <v>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H325"/>
  <sheetViews>
    <sheetView workbookViewId="0"/>
  </sheetViews>
  <sheetFormatPr baseColWidth="10" defaultColWidth="12.6640625" defaultRowHeight="15.75" customHeight="1"/>
  <cols>
    <col min="5" max="5" width="158.83203125" customWidth="1"/>
  </cols>
  <sheetData>
    <row r="1" spans="1:8" ht="15.75" customHeight="1">
      <c r="A1" s="85" t="s">
        <v>76</v>
      </c>
      <c r="B1" s="85" t="s">
        <v>77</v>
      </c>
      <c r="C1" s="85" t="s">
        <v>78</v>
      </c>
      <c r="D1" s="85" t="s">
        <v>79</v>
      </c>
      <c r="E1" s="85"/>
      <c r="F1" s="85" t="s">
        <v>80</v>
      </c>
      <c r="G1" s="85" t="s">
        <v>80</v>
      </c>
      <c r="H1" s="85" t="s">
        <v>80</v>
      </c>
    </row>
    <row r="2" spans="1:8" ht="15.75" customHeight="1">
      <c r="A2" s="85" t="s">
        <v>1072</v>
      </c>
      <c r="B2" s="85" t="s">
        <v>1073</v>
      </c>
      <c r="C2" s="85">
        <v>1</v>
      </c>
      <c r="D2" s="85" t="s">
        <v>1074</v>
      </c>
      <c r="E2" s="85" t="str">
        <f t="shared" ref="E2:E256" si="0">B2&amp;"::"&amp;C2&amp;"::"&amp;D2</f>
        <v>Algorithms part 1::1::Define the terms decomposition, abstraction and algorithmic thinking</v>
      </c>
      <c r="F2" s="85" t="s">
        <v>960</v>
      </c>
      <c r="G2" s="85" t="s">
        <v>18</v>
      </c>
      <c r="H2" s="85" t="s">
        <v>102</v>
      </c>
    </row>
    <row r="3" spans="1:8" ht="15.75" customHeight="1">
      <c r="A3" s="85" t="s">
        <v>1072</v>
      </c>
      <c r="B3" s="85" t="s">
        <v>1073</v>
      </c>
      <c r="C3" s="85">
        <v>1</v>
      </c>
      <c r="D3" s="85" t="s">
        <v>1075</v>
      </c>
      <c r="E3" s="85" t="str">
        <f t="shared" si="0"/>
        <v>Algorithms part 1::1::Recognise scenarios where each of these computational thinking techniques are applied</v>
      </c>
      <c r="F3" s="85" t="s">
        <v>960</v>
      </c>
      <c r="G3" s="85" t="s">
        <v>18</v>
      </c>
      <c r="H3" s="85" t="s">
        <v>102</v>
      </c>
    </row>
    <row r="4" spans="1:8" ht="15.75" customHeight="1">
      <c r="A4" s="85" t="s">
        <v>1072</v>
      </c>
      <c r="B4" s="85" t="s">
        <v>1073</v>
      </c>
      <c r="C4" s="85">
        <v>1</v>
      </c>
      <c r="D4" s="85" t="s">
        <v>1076</v>
      </c>
      <c r="E4" s="85" t="str">
        <f t="shared" si="0"/>
        <v>Algorithms part 1::1::Apply decomposition, abstraction and algorithmic thinking to help solve a problem</v>
      </c>
      <c r="F4" s="85" t="s">
        <v>960</v>
      </c>
      <c r="G4" s="85" t="s">
        <v>18</v>
      </c>
      <c r="H4" s="85" t="s">
        <v>102</v>
      </c>
    </row>
    <row r="5" spans="1:8" ht="15.75" customHeight="1">
      <c r="A5" s="85" t="s">
        <v>1072</v>
      </c>
      <c r="B5" s="85" t="s">
        <v>1073</v>
      </c>
      <c r="C5" s="85">
        <v>2</v>
      </c>
      <c r="D5" s="85" t="s">
        <v>1077</v>
      </c>
      <c r="E5" s="85" t="str">
        <f t="shared" si="0"/>
        <v>Algorithms part 1::2::Describe the difference between algorithms and computer programs</v>
      </c>
      <c r="F5" s="85" t="s">
        <v>960</v>
      </c>
      <c r="G5" s="85" t="s">
        <v>240</v>
      </c>
      <c r="H5" s="85" t="s">
        <v>102</v>
      </c>
    </row>
    <row r="6" spans="1:8" ht="15.75" customHeight="1">
      <c r="A6" s="85" t="s">
        <v>1072</v>
      </c>
      <c r="B6" s="85" t="s">
        <v>1073</v>
      </c>
      <c r="C6" s="85">
        <v>2</v>
      </c>
      <c r="D6" s="85" t="s">
        <v>1078</v>
      </c>
      <c r="E6" s="85" t="str">
        <f t="shared" si="0"/>
        <v>Algorithms part 1::2::Identify algorithms that are defined as written descriptions, flowcharts and code</v>
      </c>
      <c r="F6" s="85" t="s">
        <v>960</v>
      </c>
      <c r="G6" s="85" t="s">
        <v>18</v>
      </c>
      <c r="H6" s="85" t="s">
        <v>102</v>
      </c>
    </row>
    <row r="7" spans="1:8" ht="15.75" customHeight="1">
      <c r="A7" s="85" t="s">
        <v>1072</v>
      </c>
      <c r="B7" s="85" t="s">
        <v>1073</v>
      </c>
      <c r="C7" s="85">
        <v>2</v>
      </c>
      <c r="D7" s="85" t="s">
        <v>1079</v>
      </c>
      <c r="E7" s="85" t="str">
        <f t="shared" si="0"/>
        <v>Algorithms part 1::2::Analyse and create flowcharts using the flowchart symbols</v>
      </c>
      <c r="F7" s="85" t="s">
        <v>960</v>
      </c>
      <c r="G7" s="85" t="s">
        <v>18</v>
      </c>
      <c r="H7" s="85" t="s">
        <v>102</v>
      </c>
    </row>
    <row r="8" spans="1:8" ht="15.75" customHeight="1">
      <c r="A8" s="85" t="s">
        <v>1072</v>
      </c>
      <c r="B8" s="85" t="s">
        <v>1073</v>
      </c>
      <c r="C8" s="85">
        <v>3</v>
      </c>
      <c r="D8" s="85" t="s">
        <v>1080</v>
      </c>
      <c r="E8" s="85" t="str">
        <f t="shared" si="0"/>
        <v>Algorithms part 1::3::Use a trace table to walk through code that contains a while loop, a for loop and a list of items</v>
      </c>
      <c r="F8" s="85" t="s">
        <v>960</v>
      </c>
      <c r="G8" s="85" t="s">
        <v>18</v>
      </c>
      <c r="H8" s="85" t="s">
        <v>102</v>
      </c>
    </row>
    <row r="9" spans="1:8" ht="15.75" customHeight="1">
      <c r="A9" s="85" t="s">
        <v>1072</v>
      </c>
      <c r="B9" s="85" t="s">
        <v>1073</v>
      </c>
      <c r="C9" s="85">
        <v>3</v>
      </c>
      <c r="D9" s="85" t="s">
        <v>1081</v>
      </c>
      <c r="E9" s="85" t="str">
        <f t="shared" si="0"/>
        <v>Algorithms part 1::3::Use a trace table to detect and correct errors in a program</v>
      </c>
      <c r="F9" s="85" t="s">
        <v>960</v>
      </c>
      <c r="G9" s="85" t="s">
        <v>240</v>
      </c>
      <c r="H9" s="85" t="s">
        <v>102</v>
      </c>
    </row>
    <row r="10" spans="1:8" ht="15.75" customHeight="1">
      <c r="A10" s="85" t="s">
        <v>1072</v>
      </c>
      <c r="B10" s="85" t="s">
        <v>1082</v>
      </c>
      <c r="C10" s="85">
        <v>4</v>
      </c>
      <c r="D10" s="85" t="s">
        <v>1083</v>
      </c>
      <c r="E10" s="85" t="str">
        <f t="shared" si="0"/>
        <v>Algorithms part 2::4::Identify why computers often need to search data</v>
      </c>
      <c r="F10" s="85" t="s">
        <v>960</v>
      </c>
      <c r="G10" s="85" t="s">
        <v>18</v>
      </c>
      <c r="H10" s="85" t="s">
        <v>102</v>
      </c>
    </row>
    <row r="11" spans="1:8" ht="15.75" customHeight="1">
      <c r="A11" s="85" t="s">
        <v>1072</v>
      </c>
      <c r="B11" s="85" t="s">
        <v>1082</v>
      </c>
      <c r="C11" s="85">
        <v>4</v>
      </c>
      <c r="D11" s="85" t="s">
        <v>1084</v>
      </c>
      <c r="E11" s="85" t="str">
        <f t="shared" si="0"/>
        <v>Algorithms part 2::4::Describe how linear search is used for finding the position of an item in a list of items</v>
      </c>
      <c r="F11" s="85" t="s">
        <v>960</v>
      </c>
      <c r="G11" s="85" t="s">
        <v>18</v>
      </c>
      <c r="H11" s="85" t="s">
        <v>102</v>
      </c>
    </row>
    <row r="12" spans="1:8" ht="15.75" customHeight="1">
      <c r="A12" s="85" t="s">
        <v>1072</v>
      </c>
      <c r="B12" s="85" t="s">
        <v>1082</v>
      </c>
      <c r="C12" s="85">
        <v>4</v>
      </c>
      <c r="D12" s="85" t="s">
        <v>1085</v>
      </c>
      <c r="E12" s="85" t="str">
        <f t="shared" si="0"/>
        <v>Algorithms part 2::4::Perform a linear search to find the position of an item in a list</v>
      </c>
      <c r="F12" s="85" t="s">
        <v>960</v>
      </c>
      <c r="G12" s="85" t="s">
        <v>240</v>
      </c>
      <c r="H12" s="85" t="s">
        <v>102</v>
      </c>
    </row>
    <row r="13" spans="1:8" ht="15.75" customHeight="1">
      <c r="A13" s="85" t="s">
        <v>1072</v>
      </c>
      <c r="B13" s="85" t="s">
        <v>1082</v>
      </c>
      <c r="C13" s="85">
        <v>5</v>
      </c>
      <c r="D13" s="85" t="s">
        <v>1086</v>
      </c>
      <c r="E13" s="85" t="str">
        <f t="shared" si="0"/>
        <v>Algorithms part 2::5::Describe how binary search is used for finding the position of an item in a list of items</v>
      </c>
      <c r="F13" s="85" t="s">
        <v>960</v>
      </c>
      <c r="G13" s="85" t="s">
        <v>18</v>
      </c>
      <c r="H13" s="85" t="s">
        <v>102</v>
      </c>
    </row>
    <row r="14" spans="1:8" ht="15.75" customHeight="1">
      <c r="A14" s="85" t="s">
        <v>1072</v>
      </c>
      <c r="B14" s="85" t="s">
        <v>1082</v>
      </c>
      <c r="C14" s="85">
        <v>5</v>
      </c>
      <c r="D14" s="85" t="s">
        <v>1087</v>
      </c>
      <c r="E14" s="85" t="str">
        <f t="shared" si="0"/>
        <v>Algorithms part 2::5::Perform a binary search to find the position of an item in a list</v>
      </c>
      <c r="F14" s="85" t="s">
        <v>960</v>
      </c>
      <c r="G14" s="85" t="s">
        <v>240</v>
      </c>
      <c r="H14" s="85" t="s">
        <v>102</v>
      </c>
    </row>
    <row r="15" spans="1:8" ht="15.75" customHeight="1">
      <c r="A15" s="85" t="s">
        <v>1072</v>
      </c>
      <c r="B15" s="85" t="s">
        <v>1082</v>
      </c>
      <c r="C15" s="85">
        <v>5</v>
      </c>
      <c r="D15" s="85" t="s">
        <v>1088</v>
      </c>
      <c r="E15" s="85" t="str">
        <f t="shared" si="0"/>
        <v>Algorithms part 2::5::Identify scenarios when a binary search can and cannot be carried out</v>
      </c>
      <c r="F15" s="85" t="s">
        <v>960</v>
      </c>
      <c r="G15" s="85" t="s">
        <v>18</v>
      </c>
      <c r="H15" s="85" t="s">
        <v>102</v>
      </c>
    </row>
    <row r="16" spans="1:8" ht="15.75" customHeight="1">
      <c r="A16" s="85" t="s">
        <v>1072</v>
      </c>
      <c r="B16" s="85" t="s">
        <v>1082</v>
      </c>
      <c r="C16" s="85">
        <v>6</v>
      </c>
      <c r="D16" s="85" t="s">
        <v>1089</v>
      </c>
      <c r="E16" s="85" t="str">
        <f t="shared" si="0"/>
        <v>Algorithms part 2::6::Compare the features of linear and binary search and decide which is most suitable in a given context</v>
      </c>
      <c r="F16" s="85" t="s">
        <v>960</v>
      </c>
      <c r="G16" s="85" t="s">
        <v>154</v>
      </c>
      <c r="H16" s="85" t="s">
        <v>102</v>
      </c>
    </row>
    <row r="17" spans="1:8" ht="15.75" customHeight="1">
      <c r="A17" s="85" t="s">
        <v>1072</v>
      </c>
      <c r="B17" s="85" t="s">
        <v>1082</v>
      </c>
      <c r="C17" s="85">
        <v>6</v>
      </c>
      <c r="D17" s="85" t="s">
        <v>1090</v>
      </c>
      <c r="E17" s="85" t="str">
        <f t="shared" si="0"/>
        <v>Algorithms part 2::6::Interpret the code for linear search and binary search</v>
      </c>
      <c r="F17" s="85" t="s">
        <v>960</v>
      </c>
      <c r="G17" s="85" t="s">
        <v>18</v>
      </c>
      <c r="H17" s="85" t="s">
        <v>102</v>
      </c>
    </row>
    <row r="18" spans="1:8" ht="15.75" customHeight="1">
      <c r="A18" s="85" t="s">
        <v>1072</v>
      </c>
      <c r="B18" s="85" t="s">
        <v>1082</v>
      </c>
      <c r="C18" s="85">
        <v>6</v>
      </c>
      <c r="D18" s="85" t="s">
        <v>1091</v>
      </c>
      <c r="E18" s="85" t="str">
        <f t="shared" si="0"/>
        <v>Algorithms part 2::6::Trace code for both searching algorithms with input data</v>
      </c>
      <c r="F18" s="85" t="s">
        <v>960</v>
      </c>
      <c r="G18" s="85" t="s">
        <v>240</v>
      </c>
      <c r="H18" s="85" t="s">
        <v>102</v>
      </c>
    </row>
    <row r="19" spans="1:8" ht="15.75" customHeight="1">
      <c r="A19" s="85" t="s">
        <v>1072</v>
      </c>
      <c r="B19" s="85" t="s">
        <v>1082</v>
      </c>
      <c r="C19" s="85">
        <v>7</v>
      </c>
      <c r="D19" s="85" t="s">
        <v>1092</v>
      </c>
      <c r="E19" s="85" t="str">
        <f t="shared" si="0"/>
        <v>Algorithms part 2::7::Identify why computers often need to sort data</v>
      </c>
      <c r="F19" s="85" t="s">
        <v>960</v>
      </c>
      <c r="G19" s="85" t="s">
        <v>18</v>
      </c>
      <c r="H19" s="85" t="s">
        <v>102</v>
      </c>
    </row>
    <row r="20" spans="1:8" ht="15.75" customHeight="1">
      <c r="A20" s="85" t="s">
        <v>1072</v>
      </c>
      <c r="B20" s="85" t="s">
        <v>1082</v>
      </c>
      <c r="C20" s="85">
        <v>7</v>
      </c>
      <c r="D20" s="85" t="s">
        <v>1093</v>
      </c>
      <c r="E20" s="85" t="str">
        <f t="shared" si="0"/>
        <v>Algorithms part 2::7::Traverse a list of items, swapping the items that are out of order</v>
      </c>
      <c r="F20" s="85" t="s">
        <v>960</v>
      </c>
      <c r="G20" s="85" t="s">
        <v>18</v>
      </c>
      <c r="H20" s="85" t="s">
        <v>102</v>
      </c>
    </row>
    <row r="21" spans="1:8" ht="15.75" customHeight="1">
      <c r="A21" s="85" t="s">
        <v>1072</v>
      </c>
      <c r="B21" s="85" t="s">
        <v>1082</v>
      </c>
      <c r="C21" s="85">
        <v>7</v>
      </c>
      <c r="D21" s="85" t="s">
        <v>1094</v>
      </c>
      <c r="E21" s="85" t="str">
        <f t="shared" si="0"/>
        <v>Algorithms part 2::7::Perform a bubble sort to order a list containing sample data</v>
      </c>
      <c r="F21" s="85" t="s">
        <v>960</v>
      </c>
      <c r="G21" s="85" t="s">
        <v>240</v>
      </c>
      <c r="H21" s="85" t="s">
        <v>102</v>
      </c>
    </row>
    <row r="22" spans="1:8" ht="15.75" customHeight="1">
      <c r="A22" s="85" t="s">
        <v>1072</v>
      </c>
      <c r="B22" s="85" t="s">
        <v>1082</v>
      </c>
      <c r="C22" s="85">
        <v>8</v>
      </c>
      <c r="D22" s="85" t="s">
        <v>1095</v>
      </c>
      <c r="E22" s="85" t="str">
        <f t="shared" si="0"/>
        <v>Algorithms part 2::8::Insert an item into an ordered list of items</v>
      </c>
      <c r="F22" s="85" t="s">
        <v>960</v>
      </c>
      <c r="G22" s="85" t="s">
        <v>18</v>
      </c>
      <c r="H22" s="85" t="s">
        <v>102</v>
      </c>
    </row>
    <row r="23" spans="1:8" ht="15.75" customHeight="1">
      <c r="A23" s="85" t="s">
        <v>1072</v>
      </c>
      <c r="B23" s="85" t="s">
        <v>1082</v>
      </c>
      <c r="C23" s="85">
        <v>8</v>
      </c>
      <c r="D23" s="85" t="s">
        <v>1096</v>
      </c>
      <c r="E23" s="85" t="str">
        <f t="shared" si="0"/>
        <v>Algorithms part 2::8::Describe how insertion sort is used for ordering a list of items</v>
      </c>
      <c r="F23" s="85" t="s">
        <v>960</v>
      </c>
      <c r="G23" s="85" t="s">
        <v>18</v>
      </c>
      <c r="H23" s="85" t="s">
        <v>102</v>
      </c>
    </row>
    <row r="24" spans="1:8" ht="15.75" customHeight="1">
      <c r="A24" s="85" t="s">
        <v>1072</v>
      </c>
      <c r="B24" s="85" t="s">
        <v>1082</v>
      </c>
      <c r="C24" s="85">
        <v>8</v>
      </c>
      <c r="D24" s="85" t="s">
        <v>1097</v>
      </c>
      <c r="E24" s="85" t="str">
        <f t="shared" si="0"/>
        <v>Algorithms part 2::8::Perform an insertion sort to order a list containing sample data</v>
      </c>
      <c r="F24" s="85" t="s">
        <v>960</v>
      </c>
      <c r="G24" s="85" t="s">
        <v>240</v>
      </c>
      <c r="H24" s="85" t="s">
        <v>102</v>
      </c>
    </row>
    <row r="25" spans="1:8" ht="15.75" customHeight="1">
      <c r="A25" s="85" t="s">
        <v>1072</v>
      </c>
      <c r="B25" s="85" t="s">
        <v>1082</v>
      </c>
      <c r="C25" s="85">
        <v>9</v>
      </c>
      <c r="D25" s="85" t="s">
        <v>1098</v>
      </c>
      <c r="E25" s="85" t="str">
        <f t="shared" si="0"/>
        <v>Algorithms part 2::9::Interpret the code for bubble sort and insertion sort</v>
      </c>
      <c r="F25" s="85" t="s">
        <v>960</v>
      </c>
      <c r="G25" s="85" t="s">
        <v>240</v>
      </c>
      <c r="H25" s="85" t="s">
        <v>102</v>
      </c>
    </row>
    <row r="26" spans="1:8" ht="15.75" customHeight="1">
      <c r="A26" s="85" t="s">
        <v>1072</v>
      </c>
      <c r="B26" s="85" t="s">
        <v>1082</v>
      </c>
      <c r="C26" s="85">
        <v>9</v>
      </c>
      <c r="D26" s="85" t="s">
        <v>1099</v>
      </c>
      <c r="E26" s="85" t="str">
        <f t="shared" si="0"/>
        <v>Algorithms part 2::9::Trace code for both sorting algorithms with input data</v>
      </c>
      <c r="F26" s="85" t="s">
        <v>960</v>
      </c>
      <c r="G26" s="85" t="s">
        <v>240</v>
      </c>
      <c r="H26" s="85" t="s">
        <v>102</v>
      </c>
    </row>
    <row r="27" spans="1:8" ht="15.75" customHeight="1">
      <c r="A27" s="85" t="s">
        <v>1072</v>
      </c>
      <c r="B27" s="85" t="s">
        <v>1082</v>
      </c>
      <c r="C27" s="85">
        <v>9</v>
      </c>
      <c r="D27" s="85" t="s">
        <v>1100</v>
      </c>
      <c r="E27" s="85" t="str">
        <f t="shared" si="0"/>
        <v>Algorithms part 2::9::Identify factors that could influence the efficiency of a bubble sort implementation</v>
      </c>
      <c r="F27" s="85" t="s">
        <v>960</v>
      </c>
      <c r="G27" s="85" t="s">
        <v>18</v>
      </c>
      <c r="H27" s="85" t="s">
        <v>102</v>
      </c>
    </row>
    <row r="28" spans="1:8" ht="15.75" customHeight="1">
      <c r="A28" s="85" t="s">
        <v>1072</v>
      </c>
      <c r="B28" s="85" t="s">
        <v>1082</v>
      </c>
      <c r="C28" s="85">
        <v>10</v>
      </c>
      <c r="D28" s="85" t="s">
        <v>1101</v>
      </c>
      <c r="E28" s="85" t="str">
        <f t="shared" si="0"/>
        <v>Algorithms part 2::10::Merge two ordered lists of items into a new ordered list</v>
      </c>
      <c r="F28" s="85" t="s">
        <v>960</v>
      </c>
      <c r="G28" s="85" t="s">
        <v>18</v>
      </c>
      <c r="H28" s="85" t="s">
        <v>102</v>
      </c>
    </row>
    <row r="29" spans="1:8" ht="15.75" customHeight="1">
      <c r="A29" s="85" t="s">
        <v>1072</v>
      </c>
      <c r="B29" s="85" t="s">
        <v>1082</v>
      </c>
      <c r="C29" s="85">
        <v>10</v>
      </c>
      <c r="D29" s="85" t="s">
        <v>1102</v>
      </c>
      <c r="E29" s="85" t="str">
        <f t="shared" si="0"/>
        <v>Algorithms part 2::10::Describe how merge sort is used for ordering a list of items</v>
      </c>
      <c r="F29" s="85" t="s">
        <v>960</v>
      </c>
      <c r="G29" s="85" t="s">
        <v>18</v>
      </c>
      <c r="H29" s="85" t="s">
        <v>102</v>
      </c>
    </row>
    <row r="30" spans="1:8" ht="15.75" customHeight="1">
      <c r="A30" s="85" t="s">
        <v>1072</v>
      </c>
      <c r="B30" s="85" t="s">
        <v>1082</v>
      </c>
      <c r="C30" s="85">
        <v>10</v>
      </c>
      <c r="D30" s="85" t="s">
        <v>1103</v>
      </c>
      <c r="E30" s="85" t="str">
        <f t="shared" si="0"/>
        <v>Algorithms part 2::10::Perform a merge sort to order a list containing sample data</v>
      </c>
      <c r="F30" s="85" t="s">
        <v>960</v>
      </c>
      <c r="G30" s="85" t="s">
        <v>18</v>
      </c>
      <c r="H30" s="85" t="s">
        <v>102</v>
      </c>
    </row>
    <row r="31" spans="1:8" ht="15.75" customHeight="1">
      <c r="A31" s="85" t="s">
        <v>1072</v>
      </c>
      <c r="B31" s="85" t="s">
        <v>1082</v>
      </c>
      <c r="C31" s="85">
        <v>11</v>
      </c>
      <c r="D31" s="85" t="s">
        <v>1104</v>
      </c>
      <c r="E31" s="85" t="str">
        <f t="shared" si="0"/>
        <v>Algorithms part 2::11::Interpret algorithms and suggest improvements</v>
      </c>
      <c r="F31" s="85" t="s">
        <v>960</v>
      </c>
      <c r="G31" s="85" t="s">
        <v>154</v>
      </c>
      <c r="H31" s="85" t="s">
        <v>102</v>
      </c>
    </row>
    <row r="32" spans="1:8" ht="15.75" customHeight="1">
      <c r="A32" s="85" t="s">
        <v>1072</v>
      </c>
      <c r="B32" s="85" t="s">
        <v>1082</v>
      </c>
      <c r="C32" s="85">
        <v>11</v>
      </c>
      <c r="D32" s="85" t="s">
        <v>1105</v>
      </c>
      <c r="E32" s="85" t="str">
        <f t="shared" si="0"/>
        <v>Algorithms part 2::11::Analyse and fix errors in a flowchart</v>
      </c>
      <c r="F32" s="85" t="s">
        <v>960</v>
      </c>
      <c r="G32" s="85" t="s">
        <v>18</v>
      </c>
      <c r="H32" s="85" t="s">
        <v>102</v>
      </c>
    </row>
    <row r="33" spans="1:8" ht="15.75" customHeight="1">
      <c r="A33" s="85" t="s">
        <v>1072</v>
      </c>
      <c r="B33" s="85" t="s">
        <v>1082</v>
      </c>
      <c r="C33" s="85">
        <v>11</v>
      </c>
      <c r="D33" s="85" t="s">
        <v>1106</v>
      </c>
      <c r="E33" s="85" t="str">
        <f t="shared" si="0"/>
        <v>Algorithms part 2::11::Perform searching and sorting algorithms on samples of data</v>
      </c>
      <c r="F33" s="85" t="s">
        <v>960</v>
      </c>
      <c r="G33" s="85" t="s">
        <v>240</v>
      </c>
      <c r="H33" s="85" t="s">
        <v>102</v>
      </c>
    </row>
    <row r="34" spans="1:8" ht="15.75" customHeight="1">
      <c r="A34" s="85" t="s">
        <v>1072</v>
      </c>
      <c r="B34" s="85" t="s">
        <v>1082</v>
      </c>
      <c r="C34" s="85">
        <v>12</v>
      </c>
      <c r="D34" s="85" t="s">
        <v>1107</v>
      </c>
      <c r="E34" s="85" t="str">
        <f t="shared" si="0"/>
        <v>Algorithms part 2::12::Develop a linear search function in Python</v>
      </c>
      <c r="F34" s="85" t="s">
        <v>960</v>
      </c>
      <c r="G34" s="85" t="s">
        <v>240</v>
      </c>
      <c r="H34" s="85" t="s">
        <v>102</v>
      </c>
    </row>
    <row r="35" spans="1:8" ht="15.75" customHeight="1">
      <c r="A35" s="85" t="s">
        <v>1072</v>
      </c>
      <c r="B35" s="85" t="s">
        <v>1082</v>
      </c>
      <c r="C35" s="85">
        <v>12</v>
      </c>
      <c r="D35" s="85" t="s">
        <v>1108</v>
      </c>
      <c r="E35" s="85" t="str">
        <f t="shared" si="0"/>
        <v>Algorithms part 2::12::Complete the end of unit assessment</v>
      </c>
      <c r="F35" s="85" t="s">
        <v>960</v>
      </c>
      <c r="G35" s="85" t="s">
        <v>240</v>
      </c>
      <c r="H35" s="85" t="s">
        <v>102</v>
      </c>
    </row>
    <row r="36" spans="1:8" ht="15.75" customHeight="1">
      <c r="A36" s="85" t="s">
        <v>1072</v>
      </c>
      <c r="B36" s="85" t="s">
        <v>67</v>
      </c>
      <c r="C36" s="85">
        <v>1</v>
      </c>
      <c r="D36" s="85" t="s">
        <v>1109</v>
      </c>
      <c r="E36" s="85" t="str">
        <f t="shared" si="0"/>
        <v>Computer systems::1::Understand the difference between embedded and general purpose computer systems</v>
      </c>
      <c r="F36" s="85" t="s">
        <v>1110</v>
      </c>
      <c r="G36" s="85" t="s">
        <v>14</v>
      </c>
      <c r="H36" s="85" t="s">
        <v>102</v>
      </c>
    </row>
    <row r="37" spans="1:8" ht="15.75" customHeight="1">
      <c r="A37" s="85" t="s">
        <v>1072</v>
      </c>
      <c r="B37" s="85" t="s">
        <v>67</v>
      </c>
      <c r="C37" s="85">
        <v>1</v>
      </c>
      <c r="D37" s="85" t="s">
        <v>1111</v>
      </c>
      <c r="E37" s="85" t="str">
        <f t="shared" si="0"/>
        <v>Computer systems::1::Describe the role of system software as part of a computer system</v>
      </c>
      <c r="F37" s="85" t="s">
        <v>1110</v>
      </c>
      <c r="G37" s="85" t="s">
        <v>14</v>
      </c>
      <c r="H37" s="85" t="s">
        <v>102</v>
      </c>
    </row>
    <row r="38" spans="1:8" ht="15.75" customHeight="1">
      <c r="A38" s="85" t="s">
        <v>1072</v>
      </c>
      <c r="B38" s="85" t="s">
        <v>67</v>
      </c>
      <c r="C38" s="85">
        <v>1</v>
      </c>
      <c r="D38" s="85" t="s">
        <v>1112</v>
      </c>
      <c r="E38" s="85" t="str">
        <f t="shared" si="0"/>
        <v>Computer systems::1::Explore the role of the operating system and utility software</v>
      </c>
      <c r="F38" s="85" t="s">
        <v>1110</v>
      </c>
      <c r="G38" s="85" t="s">
        <v>14</v>
      </c>
      <c r="H38" s="85" t="s">
        <v>102</v>
      </c>
    </row>
    <row r="39" spans="1:8" ht="15.75" customHeight="1">
      <c r="A39" s="85" t="s">
        <v>1072</v>
      </c>
      <c r="B39" s="85" t="s">
        <v>67</v>
      </c>
      <c r="C39" s="85">
        <v>2</v>
      </c>
      <c r="D39" s="85" t="s">
        <v>1113</v>
      </c>
      <c r="E39" s="85" t="str">
        <f t="shared" si="0"/>
        <v>Computer systems::2::Describe the basic components of the CPU</v>
      </c>
      <c r="F39" s="85" t="s">
        <v>1110</v>
      </c>
      <c r="G39" s="85" t="s">
        <v>14</v>
      </c>
      <c r="H39" s="85" t="s">
        <v>102</v>
      </c>
    </row>
    <row r="40" spans="1:8" ht="15.75" customHeight="1">
      <c r="A40" s="85" t="s">
        <v>1072</v>
      </c>
      <c r="B40" s="85" t="s">
        <v>67</v>
      </c>
      <c r="C40" s="85">
        <v>2</v>
      </c>
      <c r="D40" s="85" t="s">
        <v>1114</v>
      </c>
      <c r="E40" s="85" t="str">
        <f t="shared" si="0"/>
        <v>Computer systems::2::Understand the roles and purpose of each component of the CPU in computation</v>
      </c>
      <c r="F40" s="85" t="s">
        <v>1110</v>
      </c>
      <c r="G40" s="85" t="s">
        <v>14</v>
      </c>
      <c r="H40" s="85" t="s">
        <v>102</v>
      </c>
    </row>
    <row r="41" spans="1:8" ht="15.75" customHeight="1">
      <c r="A41" s="85" t="s">
        <v>1072</v>
      </c>
      <c r="B41" s="85" t="s">
        <v>67</v>
      </c>
      <c r="C41" s="85">
        <v>3</v>
      </c>
      <c r="D41" s="85" t="s">
        <v>1115</v>
      </c>
      <c r="E41" s="85" t="str">
        <f t="shared" si="0"/>
        <v>Computer systems::3::Explain how the fetch-decode-execute cycle works by describing what happens at each stage</v>
      </c>
      <c r="F41" s="85" t="s">
        <v>1110</v>
      </c>
      <c r="G41" s="85" t="s">
        <v>14</v>
      </c>
      <c r="H41" s="85" t="s">
        <v>102</v>
      </c>
    </row>
    <row r="42" spans="1:8" ht="15.75" customHeight="1">
      <c r="A42" s="85" t="s">
        <v>1072</v>
      </c>
      <c r="B42" s="85" t="s">
        <v>67</v>
      </c>
      <c r="C42" s="85">
        <v>3</v>
      </c>
      <c r="D42" s="85" t="s">
        <v>1116</v>
      </c>
      <c r="E42" s="85" t="str">
        <f t="shared" si="0"/>
        <v>Computer systems::3::Describe the role of each part of the CPU as part of the fetch-decode-execute cycle</v>
      </c>
      <c r="F42" s="85" t="s">
        <v>1110</v>
      </c>
      <c r="G42" s="85" t="s">
        <v>14</v>
      </c>
      <c r="H42" s="85" t="s">
        <v>102</v>
      </c>
    </row>
    <row r="43" spans="1:8" ht="15.75" customHeight="1">
      <c r="A43" s="85" t="s">
        <v>1072</v>
      </c>
      <c r="B43" s="85" t="s">
        <v>67</v>
      </c>
      <c r="C43" s="85">
        <v>4</v>
      </c>
      <c r="D43" s="85" t="s">
        <v>1117</v>
      </c>
      <c r="E43" s="85" t="str">
        <f t="shared" si="0"/>
        <v>Computer systems::4::Describe the characteristics of RAM and ROM</v>
      </c>
      <c r="F43" s="85" t="s">
        <v>1110</v>
      </c>
      <c r="G43" s="85" t="s">
        <v>14</v>
      </c>
      <c r="H43" s="85" t="s">
        <v>102</v>
      </c>
    </row>
    <row r="44" spans="1:8" ht="15.75" customHeight="1">
      <c r="A44" s="85" t="s">
        <v>1072</v>
      </c>
      <c r="B44" s="85" t="s">
        <v>67</v>
      </c>
      <c r="C44" s="85">
        <v>4</v>
      </c>
      <c r="D44" s="85" t="s">
        <v>1118</v>
      </c>
      <c r="E44" s="85" t="str">
        <f t="shared" si="0"/>
        <v>Computer systems::4::Explain the role of main memory as part of a computer system</v>
      </c>
      <c r="F44" s="85" t="s">
        <v>1110</v>
      </c>
      <c r="G44" s="85" t="s">
        <v>14</v>
      </c>
      <c r="H44" s="85" t="s">
        <v>102</v>
      </c>
    </row>
    <row r="45" spans="1:8" ht="15.75" customHeight="1">
      <c r="A45" s="85" t="s">
        <v>1072</v>
      </c>
      <c r="B45" s="85" t="s">
        <v>67</v>
      </c>
      <c r="C45" s="85">
        <v>4</v>
      </c>
      <c r="D45" s="85" t="s">
        <v>1119</v>
      </c>
      <c r="E45" s="85" t="str">
        <f t="shared" si="0"/>
        <v>Computer systems::4::Define cache memory</v>
      </c>
      <c r="F45" s="85" t="s">
        <v>1110</v>
      </c>
      <c r="G45" s="85" t="s">
        <v>14</v>
      </c>
      <c r="H45" s="85" t="s">
        <v>102</v>
      </c>
    </row>
    <row r="46" spans="1:8" ht="15.75" customHeight="1">
      <c r="A46" s="85" t="s">
        <v>1072</v>
      </c>
      <c r="B46" s="85" t="s">
        <v>67</v>
      </c>
      <c r="C46" s="85">
        <v>4</v>
      </c>
      <c r="D46" s="85" t="s">
        <v>1120</v>
      </c>
      <c r="E46" s="85" t="str">
        <f t="shared" si="0"/>
        <v>Computer systems::4::Describe the role of cache in a computer system</v>
      </c>
      <c r="F46" s="85" t="s">
        <v>1110</v>
      </c>
      <c r="G46" s="85" t="s">
        <v>14</v>
      </c>
      <c r="H46" s="85" t="s">
        <v>102</v>
      </c>
    </row>
    <row r="47" spans="1:8" ht="15.75" customHeight="1">
      <c r="A47" s="85" t="s">
        <v>1072</v>
      </c>
      <c r="B47" s="85" t="s">
        <v>67</v>
      </c>
      <c r="C47" s="85">
        <v>5</v>
      </c>
      <c r="D47" s="85" t="s">
        <v>1121</v>
      </c>
      <c r="E47" s="85" t="str">
        <f t="shared" si="0"/>
        <v>Computer systems::5::Explain why a computer system needs secondary storage</v>
      </c>
      <c r="F47" s="85" t="s">
        <v>1110</v>
      </c>
      <c r="G47" s="85" t="s">
        <v>14</v>
      </c>
      <c r="H47" s="85" t="s">
        <v>102</v>
      </c>
    </row>
    <row r="48" spans="1:8" ht="13">
      <c r="A48" s="85" t="s">
        <v>1072</v>
      </c>
      <c r="B48" s="85" t="s">
        <v>67</v>
      </c>
      <c r="C48" s="85">
        <v>5</v>
      </c>
      <c r="D48" s="85" t="s">
        <v>1122</v>
      </c>
      <c r="E48" s="85" t="str">
        <f t="shared" si="0"/>
        <v>Computer systems::5::State the different types of secondary storage and describe their functional characteristics</v>
      </c>
      <c r="F48" s="85" t="s">
        <v>1110</v>
      </c>
      <c r="G48" s="85" t="s">
        <v>14</v>
      </c>
      <c r="H48" s="85" t="s">
        <v>102</v>
      </c>
    </row>
    <row r="49" spans="1:8" ht="13">
      <c r="A49" s="85" t="s">
        <v>1072</v>
      </c>
      <c r="B49" s="85" t="s">
        <v>67</v>
      </c>
      <c r="C49" s="85">
        <v>5</v>
      </c>
      <c r="D49" s="85" t="s">
        <v>1123</v>
      </c>
      <c r="E49" s="85" t="str">
        <f t="shared" si="0"/>
        <v>Computer systems::5::State how solid-state memory works and describe its characteristics</v>
      </c>
      <c r="F49" s="85" t="s">
        <v>1110</v>
      </c>
      <c r="G49" s="85" t="s">
        <v>14</v>
      </c>
      <c r="H49" s="85" t="s">
        <v>102</v>
      </c>
    </row>
    <row r="50" spans="1:8" ht="13">
      <c r="A50" s="85" t="s">
        <v>1072</v>
      </c>
      <c r="B50" s="85" t="s">
        <v>67</v>
      </c>
      <c r="C50" s="85">
        <v>6</v>
      </c>
      <c r="D50" s="85" t="s">
        <v>1124</v>
      </c>
      <c r="E50" s="85" t="str">
        <f t="shared" si="0"/>
        <v>Computer systems::6::Explain how optical and magnetic memory stores data in the form of binary</v>
      </c>
      <c r="F50" s="85" t="s">
        <v>1110</v>
      </c>
      <c r="G50" s="85" t="s">
        <v>14</v>
      </c>
      <c r="H50" s="85" t="s">
        <v>102</v>
      </c>
    </row>
    <row r="51" spans="1:8" ht="13">
      <c r="A51" s="85" t="s">
        <v>1072</v>
      </c>
      <c r="B51" s="85" t="s">
        <v>67</v>
      </c>
      <c r="C51" s="85">
        <v>6</v>
      </c>
      <c r="D51" s="85" t="s">
        <v>1125</v>
      </c>
      <c r="E51" s="85" t="str">
        <f t="shared" si="0"/>
        <v>Computer systems::6::Describe how data is read from and written to optical and magnetic memory</v>
      </c>
      <c r="F51" s="85" t="s">
        <v>1110</v>
      </c>
      <c r="G51" s="85" t="s">
        <v>14</v>
      </c>
      <c r="H51" s="85" t="s">
        <v>102</v>
      </c>
    </row>
    <row r="52" spans="1:8" ht="13">
      <c r="A52" s="85" t="s">
        <v>1072</v>
      </c>
      <c r="B52" s="85" t="s">
        <v>67</v>
      </c>
      <c r="C52" s="85">
        <v>6</v>
      </c>
      <c r="D52" s="85" t="s">
        <v>1126</v>
      </c>
      <c r="E52" s="85" t="str">
        <f t="shared" si="0"/>
        <v>Computer systems::6::Apply knowledge of storage devices to compare the three mediums of storage</v>
      </c>
      <c r="F52" s="85" t="s">
        <v>1110</v>
      </c>
      <c r="G52" s="85" t="s">
        <v>14</v>
      </c>
      <c r="H52" s="85" t="s">
        <v>102</v>
      </c>
    </row>
    <row r="53" spans="1:8" ht="13">
      <c r="A53" s="85" t="s">
        <v>1072</v>
      </c>
      <c r="B53" s="85" t="s">
        <v>67</v>
      </c>
      <c r="C53" s="85">
        <v>7</v>
      </c>
      <c r="D53" s="85" t="s">
        <v>1127</v>
      </c>
      <c r="E53" s="85" t="str">
        <f t="shared" si="0"/>
        <v>Computer systems::7::Apply the knowledge of storage devices to recommend an appropriate device</v>
      </c>
      <c r="F53" s="85" t="s">
        <v>1110</v>
      </c>
      <c r="G53" s="85" t="s">
        <v>14</v>
      </c>
      <c r="H53" s="85" t="s">
        <v>102</v>
      </c>
    </row>
    <row r="54" spans="1:8" ht="13">
      <c r="A54" s="85" t="s">
        <v>1072</v>
      </c>
      <c r="B54" s="85" t="s">
        <v>67</v>
      </c>
      <c r="C54" s="85">
        <v>7</v>
      </c>
      <c r="D54" s="85" t="s">
        <v>1128</v>
      </c>
      <c r="E54" s="85" t="str">
        <f t="shared" si="0"/>
        <v>Computer systems::7::Describe the limitations of secondary storage</v>
      </c>
      <c r="F54" s="85" t="s">
        <v>1110</v>
      </c>
      <c r="G54" s="85" t="s">
        <v>14</v>
      </c>
      <c r="H54" s="85" t="s">
        <v>102</v>
      </c>
    </row>
    <row r="55" spans="1:8" ht="13">
      <c r="A55" s="85" t="s">
        <v>1072</v>
      </c>
      <c r="B55" s="85" t="s">
        <v>67</v>
      </c>
      <c r="C55" s="85">
        <v>7</v>
      </c>
      <c r="D55" s="85" t="s">
        <v>1129</v>
      </c>
      <c r="E55" s="85" t="str">
        <f t="shared" si="0"/>
        <v>Computer systems::7::Explain the definition of ‘cloud storage’ and describe the characteristics of cloud storage</v>
      </c>
      <c r="F55" s="85" t="s">
        <v>1110</v>
      </c>
      <c r="G55" s="85" t="s">
        <v>271</v>
      </c>
      <c r="H55" s="85" t="s">
        <v>102</v>
      </c>
    </row>
    <row r="56" spans="1:8" ht="13">
      <c r="A56" s="85" t="s">
        <v>1072</v>
      </c>
      <c r="B56" s="85" t="s">
        <v>67</v>
      </c>
      <c r="C56" s="85">
        <v>8</v>
      </c>
      <c r="D56" s="85" t="s">
        <v>1130</v>
      </c>
      <c r="E56" s="85" t="str">
        <f t="shared" si="0"/>
        <v>Computer systems::8::Explore the factors that impact a CPU’s performance</v>
      </c>
      <c r="F56" s="85" t="s">
        <v>1110</v>
      </c>
      <c r="G56" s="85" t="s">
        <v>14</v>
      </c>
      <c r="H56" s="85" t="s">
        <v>102</v>
      </c>
    </row>
    <row r="57" spans="1:8" ht="13">
      <c r="A57" s="85" t="s">
        <v>1072</v>
      </c>
      <c r="B57" s="85" t="s">
        <v>67</v>
      </c>
      <c r="C57" s="85">
        <v>8</v>
      </c>
      <c r="D57" s="85" t="s">
        <v>1131</v>
      </c>
      <c r="E57" s="85" t="str">
        <f t="shared" si="0"/>
        <v>Computer systems::8::Select components to create a computer system</v>
      </c>
      <c r="F57" s="85" t="s">
        <v>1110</v>
      </c>
      <c r="G57" s="85" t="s">
        <v>897</v>
      </c>
      <c r="H57" s="85" t="s">
        <v>102</v>
      </c>
    </row>
    <row r="58" spans="1:8" ht="13">
      <c r="A58" s="85" t="s">
        <v>1072</v>
      </c>
      <c r="B58" s="85" t="s">
        <v>67</v>
      </c>
      <c r="C58" s="85">
        <v>8</v>
      </c>
      <c r="D58" s="85" t="s">
        <v>1132</v>
      </c>
      <c r="E58" s="85" t="str">
        <f t="shared" si="0"/>
        <v>Computer systems::8::Evaluate a computer’s suitability for a given task</v>
      </c>
      <c r="F58" s="85" t="s">
        <v>1110</v>
      </c>
      <c r="G58" s="85" t="s">
        <v>897</v>
      </c>
      <c r="H58" s="85" t="s">
        <v>102</v>
      </c>
    </row>
    <row r="59" spans="1:8" ht="13">
      <c r="A59" s="85" t="s">
        <v>1072</v>
      </c>
      <c r="B59" s="85" t="s">
        <v>67</v>
      </c>
      <c r="C59" s="85">
        <v>9</v>
      </c>
      <c r="D59" s="85" t="s">
        <v>1133</v>
      </c>
      <c r="E59" s="85" t="str">
        <f t="shared" si="0"/>
        <v>Computer systems::9::Revise computer systems content covered so far</v>
      </c>
      <c r="F59" s="85" t="s">
        <v>1110</v>
      </c>
      <c r="G59" s="85" t="s">
        <v>14</v>
      </c>
      <c r="H59" s="85" t="s">
        <v>102</v>
      </c>
    </row>
    <row r="60" spans="1:8" ht="13">
      <c r="A60" s="85" t="s">
        <v>1072</v>
      </c>
      <c r="B60" s="85" t="s">
        <v>67</v>
      </c>
      <c r="C60" s="85">
        <v>9</v>
      </c>
      <c r="D60" s="85" t="s">
        <v>1134</v>
      </c>
      <c r="E60" s="85" t="str">
        <f t="shared" si="0"/>
        <v>Computer systems::9::Design and implement a software project</v>
      </c>
      <c r="F60" s="85" t="s">
        <v>1110</v>
      </c>
      <c r="G60" s="85" t="s">
        <v>897</v>
      </c>
      <c r="H60" s="85" t="s">
        <v>102</v>
      </c>
    </row>
    <row r="61" spans="1:8" ht="13">
      <c r="A61" s="85" t="s">
        <v>1072</v>
      </c>
      <c r="B61" s="85" t="s">
        <v>67</v>
      </c>
      <c r="C61" s="85">
        <v>10</v>
      </c>
      <c r="D61" s="85" t="s">
        <v>1135</v>
      </c>
      <c r="E61" s="85" t="str">
        <f t="shared" si="0"/>
        <v>Computer systems::10::Discover the logic gates AND, NOT, and OR, including their symbols and truth tables</v>
      </c>
      <c r="F61" s="85" t="s">
        <v>1110</v>
      </c>
      <c r="G61" s="85" t="s">
        <v>1136</v>
      </c>
      <c r="H61" s="85" t="s">
        <v>102</v>
      </c>
    </row>
    <row r="62" spans="1:8" ht="13">
      <c r="A62" s="85" t="s">
        <v>1072</v>
      </c>
      <c r="B62" s="85" t="s">
        <v>67</v>
      </c>
      <c r="C62" s="85">
        <v>10</v>
      </c>
      <c r="D62" s="85" t="s">
        <v>1137</v>
      </c>
      <c r="E62" s="85" t="str">
        <f t="shared" si="0"/>
        <v>Computer systems::10::Learn how logic gates are used in carrying out computation</v>
      </c>
      <c r="F62" s="85" t="s">
        <v>1110</v>
      </c>
      <c r="G62" s="85" t="s">
        <v>1136</v>
      </c>
      <c r="H62" s="85" t="s">
        <v>102</v>
      </c>
    </row>
    <row r="63" spans="1:8" ht="13">
      <c r="A63" s="85" t="s">
        <v>1072</v>
      </c>
      <c r="B63" s="85" t="s">
        <v>67</v>
      </c>
      <c r="C63" s="85">
        <v>10</v>
      </c>
      <c r="D63" s="85" t="s">
        <v>1138</v>
      </c>
      <c r="E63" s="85" t="str">
        <f t="shared" si="0"/>
        <v>Computer systems::10::Design a logical circuit, combining logic gates to solve a problem</v>
      </c>
      <c r="F63" s="85" t="s">
        <v>1110</v>
      </c>
      <c r="G63" s="85" t="s">
        <v>1136</v>
      </c>
      <c r="H63" s="85" t="s">
        <v>102</v>
      </c>
    </row>
    <row r="64" spans="1:8" ht="13">
      <c r="A64" s="85" t="s">
        <v>1072</v>
      </c>
      <c r="B64" s="85" t="s">
        <v>67</v>
      </c>
      <c r="C64" s="85">
        <v>11</v>
      </c>
      <c r="D64" s="85" t="s">
        <v>1139</v>
      </c>
      <c r="E64" s="85" t="str">
        <f t="shared" si="0"/>
        <v>Computer systems::11::Construct truth tables for a three-input logic circuit</v>
      </c>
      <c r="F64" s="85" t="s">
        <v>1110</v>
      </c>
      <c r="G64" s="85" t="s">
        <v>1136</v>
      </c>
      <c r="H64" s="85" t="s">
        <v>102</v>
      </c>
    </row>
    <row r="65" spans="1:8" ht="13">
      <c r="A65" s="85" t="s">
        <v>1072</v>
      </c>
      <c r="B65" s="85" t="s">
        <v>67</v>
      </c>
      <c r="C65" s="85">
        <v>11</v>
      </c>
      <c r="D65" s="85" t="s">
        <v>1140</v>
      </c>
      <c r="E65" s="85" t="str">
        <f t="shared" si="0"/>
        <v>Computer systems::11::Write a Boolean expression to describe a logical circuit</v>
      </c>
      <c r="F65" s="85" t="s">
        <v>1110</v>
      </c>
      <c r="G65" s="85" t="s">
        <v>1136</v>
      </c>
      <c r="H65" s="85" t="s">
        <v>102</v>
      </c>
    </row>
    <row r="66" spans="1:8" ht="13">
      <c r="A66" s="85" t="s">
        <v>1072</v>
      </c>
      <c r="B66" s="85" t="s">
        <v>67</v>
      </c>
      <c r="C66" s="85">
        <v>11</v>
      </c>
      <c r="D66" s="85" t="s">
        <v>1141</v>
      </c>
      <c r="E66" s="85" t="str">
        <f t="shared" si="0"/>
        <v>Computer systems::11::Describe how combinations of logic gates can perform mathematical operations</v>
      </c>
      <c r="F66" s="85" t="s">
        <v>1110</v>
      </c>
      <c r="G66" s="85" t="s">
        <v>1136</v>
      </c>
      <c r="H66" s="85" t="s">
        <v>102</v>
      </c>
    </row>
    <row r="67" spans="1:8" ht="13">
      <c r="A67" s="85" t="s">
        <v>1072</v>
      </c>
      <c r="B67" s="85" t="s">
        <v>67</v>
      </c>
      <c r="C67" s="85">
        <v>12</v>
      </c>
      <c r="D67" s="85" t="s">
        <v>1142</v>
      </c>
      <c r="E67" s="85" t="str">
        <f t="shared" si="0"/>
        <v>Computer systems::12::Explain the basic commands in the LMC’s assembly code: INP, OUT, STA, LDA, ADD, SUB, and BRP</v>
      </c>
      <c r="F67" s="85" t="s">
        <v>1110</v>
      </c>
      <c r="G67" s="85" t="s">
        <v>502</v>
      </c>
      <c r="H67" s="85" t="s">
        <v>102</v>
      </c>
    </row>
    <row r="68" spans="1:8" ht="13">
      <c r="A68" s="85" t="s">
        <v>1072</v>
      </c>
      <c r="B68" s="85" t="s">
        <v>67</v>
      </c>
      <c r="C68" s="85">
        <v>12</v>
      </c>
      <c r="D68" s="85" t="s">
        <v>1143</v>
      </c>
      <c r="E68" s="85" t="str">
        <f t="shared" si="0"/>
        <v>Computer systems::12::Determine that assembly language has a 1:1 relationship with machine code</v>
      </c>
      <c r="F68" s="85" t="s">
        <v>1110</v>
      </c>
      <c r="G68" s="85" t="s">
        <v>14</v>
      </c>
      <c r="H68" s="85" t="s">
        <v>102</v>
      </c>
    </row>
    <row r="69" spans="1:8" ht="13">
      <c r="A69" s="85" t="s">
        <v>1072</v>
      </c>
      <c r="B69" s="85" t="s">
        <v>67</v>
      </c>
      <c r="C69" s="85">
        <v>13</v>
      </c>
      <c r="D69" s="85" t="s">
        <v>1144</v>
      </c>
      <c r="E69" s="85" t="str">
        <f t="shared" si="0"/>
        <v>Computer systems::13::Design and write your own program in assembly language</v>
      </c>
      <c r="F69" s="85" t="s">
        <v>1110</v>
      </c>
      <c r="G69" s="85" t="s">
        <v>502</v>
      </c>
      <c r="H69" s="85" t="s">
        <v>102</v>
      </c>
    </row>
    <row r="70" spans="1:8" ht="13">
      <c r="A70" s="85" t="s">
        <v>1072</v>
      </c>
      <c r="B70" s="85" t="s">
        <v>69</v>
      </c>
      <c r="C70" s="85">
        <v>1</v>
      </c>
      <c r="D70" s="85" t="s">
        <v>1145</v>
      </c>
      <c r="E70" s="85" t="str">
        <f t="shared" si="0"/>
        <v>Cyber security::1::Define the terms cybersecurity and network security, explain their importance, and distinguish between the two</v>
      </c>
      <c r="F70" s="85" t="s">
        <v>1146</v>
      </c>
      <c r="G70" s="85" t="s">
        <v>176</v>
      </c>
      <c r="H70" s="85" t="s">
        <v>56</v>
      </c>
    </row>
    <row r="71" spans="1:8" ht="13">
      <c r="A71" s="85" t="s">
        <v>1072</v>
      </c>
      <c r="B71" s="85" t="s">
        <v>69</v>
      </c>
      <c r="C71" s="85">
        <v>1</v>
      </c>
      <c r="D71" s="85" t="s">
        <v>1147</v>
      </c>
      <c r="E71" s="85" t="str">
        <f t="shared" si="0"/>
        <v>Cyber security::1::Describe the features of a network that make it vulnerable to attack</v>
      </c>
      <c r="F71" s="85" t="s">
        <v>1146</v>
      </c>
      <c r="G71" s="85" t="s">
        <v>353</v>
      </c>
      <c r="H71" s="85" t="s">
        <v>56</v>
      </c>
    </row>
    <row r="72" spans="1:8" ht="13">
      <c r="A72" s="85" t="s">
        <v>1072</v>
      </c>
      <c r="B72" s="85" t="s">
        <v>69</v>
      </c>
      <c r="C72" s="85">
        <v>1</v>
      </c>
      <c r="D72" s="85" t="s">
        <v>1148</v>
      </c>
      <c r="E72" s="85" t="str">
        <f t="shared" si="0"/>
        <v>Cyber security::1::Describe the impact of cybercrime on businesses and individuals</v>
      </c>
      <c r="F72" s="85" t="s">
        <v>1146</v>
      </c>
      <c r="G72" s="85" t="s">
        <v>366</v>
      </c>
      <c r="H72" s="85" t="s">
        <v>56</v>
      </c>
    </row>
    <row r="73" spans="1:8" ht="13">
      <c r="A73" s="85" t="s">
        <v>1072</v>
      </c>
      <c r="B73" s="85" t="s">
        <v>69</v>
      </c>
      <c r="C73" s="85">
        <v>1</v>
      </c>
      <c r="D73" s="85" t="s">
        <v>1149</v>
      </c>
      <c r="E73" s="85" t="str">
        <f t="shared" si="0"/>
        <v>Cyber security::1::Analyse an attack on a company and identify what motivated the hackers</v>
      </c>
      <c r="F73" s="85" t="s">
        <v>1146</v>
      </c>
      <c r="G73" s="85" t="s">
        <v>176</v>
      </c>
      <c r="H73" s="85" t="s">
        <v>56</v>
      </c>
    </row>
    <row r="74" spans="1:8" ht="13">
      <c r="A74" s="85" t="s">
        <v>1072</v>
      </c>
      <c r="B74" s="85" t="s">
        <v>69</v>
      </c>
      <c r="C74" s="85">
        <v>2</v>
      </c>
      <c r="D74" s="85" t="s">
        <v>1150</v>
      </c>
      <c r="E74" s="85" t="str">
        <f t="shared" si="0"/>
        <v>Cyber security::2::Demonstrate knowledge of social engineering in role play and case studies</v>
      </c>
      <c r="F74" s="85" t="s">
        <v>1146</v>
      </c>
      <c r="G74" s="85" t="s">
        <v>176</v>
      </c>
      <c r="H74" s="85" t="s">
        <v>56</v>
      </c>
    </row>
    <row r="75" spans="1:8" ht="13">
      <c r="A75" s="85" t="s">
        <v>1072</v>
      </c>
      <c r="B75" s="85" t="s">
        <v>69</v>
      </c>
      <c r="C75" s="85">
        <v>2</v>
      </c>
      <c r="D75" s="85" t="s">
        <v>1151</v>
      </c>
      <c r="E75" s="85" t="str">
        <f t="shared" si="0"/>
        <v>Cyber security::2::Identify and describe non-automated forms of cyberattack and how humans can be the weak points in an organisation</v>
      </c>
      <c r="F75" s="85" t="s">
        <v>1146</v>
      </c>
      <c r="G75" s="85" t="s">
        <v>176</v>
      </c>
      <c r="H75" s="85" t="s">
        <v>56</v>
      </c>
    </row>
    <row r="76" spans="1:8" ht="13">
      <c r="A76" s="85" t="s">
        <v>1072</v>
      </c>
      <c r="B76" s="85" t="s">
        <v>69</v>
      </c>
      <c r="C76" s="85">
        <v>3</v>
      </c>
      <c r="D76" s="85" t="s">
        <v>1152</v>
      </c>
      <c r="E76" s="85" t="str">
        <f t="shared" si="0"/>
        <v>Cyber security::3::Analyse a real cyberattack and identify the network or software weaknesses that enabled it to happen</v>
      </c>
      <c r="F76" s="85" t="s">
        <v>1146</v>
      </c>
      <c r="G76" s="85" t="s">
        <v>176</v>
      </c>
      <c r="H76" s="85" t="s">
        <v>56</v>
      </c>
    </row>
    <row r="77" spans="1:8" ht="13">
      <c r="A77" s="85" t="s">
        <v>1072</v>
      </c>
      <c r="B77" s="85" t="s">
        <v>69</v>
      </c>
      <c r="C77" s="85">
        <v>3</v>
      </c>
      <c r="D77" s="85" t="s">
        <v>1153</v>
      </c>
      <c r="E77" s="85" t="str">
        <f t="shared" si="0"/>
        <v>Cyber security::3::Describe automated forms of cyberattack</v>
      </c>
      <c r="F77" s="85" t="s">
        <v>1146</v>
      </c>
      <c r="G77" s="85" t="s">
        <v>176</v>
      </c>
      <c r="H77" s="85" t="s">
        <v>56</v>
      </c>
    </row>
    <row r="78" spans="1:8" ht="13">
      <c r="A78" s="85" t="s">
        <v>1072</v>
      </c>
      <c r="B78" s="85" t="s">
        <v>69</v>
      </c>
      <c r="C78" s="85">
        <v>4</v>
      </c>
      <c r="D78" s="85" t="s">
        <v>1154</v>
      </c>
      <c r="E78" s="85" t="str">
        <f t="shared" si="0"/>
        <v>Cyber security::4::Describe ways in which organisations use software to protect against cyberattacks</v>
      </c>
      <c r="F78" s="85" t="s">
        <v>1146</v>
      </c>
      <c r="G78" s="85" t="s">
        <v>176</v>
      </c>
      <c r="H78" s="85" t="s">
        <v>56</v>
      </c>
    </row>
    <row r="79" spans="1:8" ht="13">
      <c r="A79" s="85" t="s">
        <v>1072</v>
      </c>
      <c r="B79" s="85" t="s">
        <v>69</v>
      </c>
      <c r="C79" s="85">
        <v>4</v>
      </c>
      <c r="D79" s="85" t="s">
        <v>1155</v>
      </c>
      <c r="E79" s="85" t="str">
        <f t="shared" si="0"/>
        <v>Cyber security::4::Identify how software can be used to protect from cyberattacks</v>
      </c>
      <c r="F79" s="85" t="s">
        <v>1146</v>
      </c>
      <c r="G79" s="85" t="s">
        <v>1156</v>
      </c>
      <c r="H79" s="85" t="s">
        <v>56</v>
      </c>
    </row>
    <row r="80" spans="1:8" ht="13">
      <c r="A80" s="85" t="s">
        <v>1072</v>
      </c>
      <c r="B80" s="85" t="s">
        <v>69</v>
      </c>
      <c r="C80" s="85">
        <v>5</v>
      </c>
      <c r="D80" s="85" t="s">
        <v>1157</v>
      </c>
      <c r="E80" s="85" t="str">
        <f t="shared" si="0"/>
        <v>Cyber security::5::Describe different ways to protect software systems and networks (2 of 2)</v>
      </c>
      <c r="F80" s="85" t="s">
        <v>1146</v>
      </c>
      <c r="G80" s="85" t="s">
        <v>176</v>
      </c>
      <c r="H80" s="85" t="s">
        <v>56</v>
      </c>
    </row>
    <row r="81" spans="1:8" ht="13">
      <c r="A81" s="85" t="s">
        <v>1072</v>
      </c>
      <c r="B81" s="85" t="s">
        <v>69</v>
      </c>
      <c r="C81" s="85">
        <v>5</v>
      </c>
      <c r="D81" s="85" t="s">
        <v>1158</v>
      </c>
      <c r="E81" s="85" t="str">
        <f t="shared" si="0"/>
        <v>Cyber security::5::Understand the need for, and importance of, network security</v>
      </c>
      <c r="F81" s="85" t="s">
        <v>1146</v>
      </c>
      <c r="G81" s="85" t="s">
        <v>353</v>
      </c>
      <c r="H81" s="85" t="s">
        <v>56</v>
      </c>
    </row>
    <row r="82" spans="1:8" ht="13">
      <c r="A82" s="85" t="s">
        <v>1072</v>
      </c>
      <c r="B82" s="85" t="s">
        <v>69</v>
      </c>
      <c r="C82" s="85">
        <v>5</v>
      </c>
      <c r="D82" s="85" t="s">
        <v>1159</v>
      </c>
      <c r="E82" s="85" t="str">
        <f t="shared" si="0"/>
        <v>Cyber security::5::Explain a number of methods of achieving network security</v>
      </c>
      <c r="F82" s="85" t="s">
        <v>1146</v>
      </c>
      <c r="G82" s="85" t="s">
        <v>176</v>
      </c>
      <c r="H82" s="85" t="s">
        <v>56</v>
      </c>
    </row>
    <row r="83" spans="1:8" ht="13">
      <c r="A83" s="85" t="s">
        <v>1072</v>
      </c>
      <c r="B83" s="85" t="s">
        <v>69</v>
      </c>
      <c r="C83" s="85">
        <v>6</v>
      </c>
      <c r="D83" s="85" t="s">
        <v>1160</v>
      </c>
      <c r="E83" s="85" t="str">
        <f t="shared" si="0"/>
        <v>Cyber security::6::Describe different methods of identifying cybersecurity vulnerabilities, such as: penetration testing, ethical hacking, network forensics, commercial analysis tools, review of network and user policies</v>
      </c>
      <c r="F83" s="85" t="s">
        <v>1146</v>
      </c>
      <c r="G83" s="85" t="s">
        <v>353</v>
      </c>
      <c r="H83" s="85" t="s">
        <v>56</v>
      </c>
    </row>
    <row r="84" spans="1:8" ht="13">
      <c r="A84" s="85" t="s">
        <v>1072</v>
      </c>
      <c r="B84" s="85" t="s">
        <v>69</v>
      </c>
      <c r="C84" s="85">
        <v>7</v>
      </c>
      <c r="D84" s="85" t="s">
        <v>1161</v>
      </c>
      <c r="E84" s="85" t="str">
        <f t="shared" si="0"/>
        <v>Cyber security::7::Evaluate the potential for cybersecurity careers</v>
      </c>
      <c r="F84" s="85" t="s">
        <v>1146</v>
      </c>
      <c r="G84" s="85" t="s">
        <v>366</v>
      </c>
      <c r="H84" s="85" t="s">
        <v>56</v>
      </c>
    </row>
    <row r="85" spans="1:8" ht="13">
      <c r="A85" s="85" t="s">
        <v>1072</v>
      </c>
      <c r="B85" s="85" t="s">
        <v>69</v>
      </c>
      <c r="C85" s="85">
        <v>7</v>
      </c>
      <c r="D85" s="85" t="s">
        <v>1162</v>
      </c>
      <c r="E85" s="85" t="str">
        <f t="shared" si="0"/>
        <v>Cyber security::7::Apply knowledge of cybersecurity to GCSE-style questions</v>
      </c>
      <c r="F85" s="85" t="s">
        <v>1146</v>
      </c>
      <c r="G85" s="85" t="s">
        <v>1163</v>
      </c>
      <c r="H85" s="85" t="s">
        <v>56</v>
      </c>
    </row>
    <row r="86" spans="1:8" ht="13">
      <c r="A86" s="85" t="s">
        <v>1072</v>
      </c>
      <c r="B86" s="85" t="s">
        <v>71</v>
      </c>
      <c r="C86" s="85">
        <v>1</v>
      </c>
      <c r="D86" s="85" t="s">
        <v>1164</v>
      </c>
      <c r="E86" s="85" t="str">
        <f t="shared" si="0"/>
        <v>Databases and SQL::1::Describe a database</v>
      </c>
      <c r="F86" s="85">
        <v>4.0999999999999996</v>
      </c>
      <c r="G86" s="85" t="s">
        <v>10</v>
      </c>
      <c r="H86" s="85" t="s">
        <v>102</v>
      </c>
    </row>
    <row r="87" spans="1:8" ht="13">
      <c r="A87" s="85" t="s">
        <v>1072</v>
      </c>
      <c r="B87" s="85" t="s">
        <v>71</v>
      </c>
      <c r="C87" s="85">
        <v>1</v>
      </c>
      <c r="D87" s="85" t="s">
        <v>1165</v>
      </c>
      <c r="E87" s="85" t="str">
        <f t="shared" si="0"/>
        <v>Databases and SQL::1::Define database key terms (table, record, field, primary key, foreign key)</v>
      </c>
      <c r="F87" s="85">
        <v>4.0999999999999996</v>
      </c>
      <c r="G87" s="85" t="s">
        <v>10</v>
      </c>
      <c r="H87" s="85" t="s">
        <v>102</v>
      </c>
    </row>
    <row r="88" spans="1:8" ht="13">
      <c r="A88" s="85" t="s">
        <v>1072</v>
      </c>
      <c r="B88" s="85" t="s">
        <v>71</v>
      </c>
      <c r="C88" s="85">
        <v>1</v>
      </c>
      <c r="D88" s="85" t="s">
        <v>1166</v>
      </c>
      <c r="E88" s="85" t="str">
        <f t="shared" si="0"/>
        <v>Databases and SQL::1::Describe a flat file database</v>
      </c>
      <c r="F88" s="85">
        <v>4.0999999999999996</v>
      </c>
      <c r="G88" s="85" t="s">
        <v>10</v>
      </c>
      <c r="H88" s="85" t="s">
        <v>102</v>
      </c>
    </row>
    <row r="89" spans="1:8" ht="13">
      <c r="A89" s="85" t="s">
        <v>1072</v>
      </c>
      <c r="B89" s="85" t="s">
        <v>71</v>
      </c>
      <c r="C89" s="85">
        <v>1</v>
      </c>
      <c r="D89" s="85" t="s">
        <v>1167</v>
      </c>
      <c r="E89" s="85" t="str">
        <f t="shared" si="0"/>
        <v>Databases and SQL::1::Describe a relational database</v>
      </c>
      <c r="F89" s="85">
        <v>4.0999999999999996</v>
      </c>
      <c r="G89" s="85" t="s">
        <v>10</v>
      </c>
      <c r="H89" s="85" t="s">
        <v>102</v>
      </c>
    </row>
    <row r="90" spans="1:8" ht="13">
      <c r="A90" s="85" t="s">
        <v>1072</v>
      </c>
      <c r="B90" s="85" t="s">
        <v>71</v>
      </c>
      <c r="C90" s="85">
        <v>2</v>
      </c>
      <c r="D90" s="85" t="s">
        <v>1168</v>
      </c>
      <c r="E90" s="85" t="str">
        <f t="shared" si="0"/>
        <v>Databases and SQL::2::Describe the function of SQL</v>
      </c>
      <c r="F90" s="85">
        <v>4.0999999999999996</v>
      </c>
      <c r="G90" s="85" t="s">
        <v>911</v>
      </c>
      <c r="H90" s="85" t="s">
        <v>102</v>
      </c>
    </row>
    <row r="91" spans="1:8" ht="13">
      <c r="A91" s="85" t="s">
        <v>1072</v>
      </c>
      <c r="B91" s="85" t="s">
        <v>71</v>
      </c>
      <c r="C91" s="85">
        <v>2</v>
      </c>
      <c r="D91" s="85" t="s">
        <v>1169</v>
      </c>
      <c r="E91" s="85" t="str">
        <f t="shared" si="0"/>
        <v>Databases and SQL::2::Use SQL to retrieve data from a table in a relational database</v>
      </c>
      <c r="F91" s="85">
        <v>4.0999999999999996</v>
      </c>
      <c r="G91" s="85" t="s">
        <v>911</v>
      </c>
      <c r="H91" s="85" t="s">
        <v>102</v>
      </c>
    </row>
    <row r="92" spans="1:8" ht="13">
      <c r="A92" s="85" t="s">
        <v>1072</v>
      </c>
      <c r="B92" s="85" t="s">
        <v>71</v>
      </c>
      <c r="C92" s="85">
        <v>2</v>
      </c>
      <c r="D92" s="85" t="s">
        <v>1170</v>
      </c>
      <c r="E92" s="85" t="str">
        <f t="shared" si="0"/>
        <v>Databases and SQL::2::Use SQL to retrieve data from more than one table in a relational database</v>
      </c>
      <c r="F92" s="85">
        <v>4.0999999999999996</v>
      </c>
      <c r="G92" s="85" t="s">
        <v>911</v>
      </c>
      <c r="H92" s="85" t="s">
        <v>102</v>
      </c>
    </row>
    <row r="93" spans="1:8" ht="13">
      <c r="A93" s="85" t="s">
        <v>1072</v>
      </c>
      <c r="B93" s="85" t="s">
        <v>71</v>
      </c>
      <c r="C93" s="85">
        <v>3</v>
      </c>
      <c r="D93" s="85" t="s">
        <v>1171</v>
      </c>
      <c r="E93" s="85" t="str">
        <f t="shared" si="0"/>
        <v>Databases and SQL::3::Describe the function of different data types.</v>
      </c>
      <c r="F93" s="85">
        <v>4.0999999999999996</v>
      </c>
      <c r="G93" s="85" t="s">
        <v>10</v>
      </c>
      <c r="H93" s="85" t="s">
        <v>102</v>
      </c>
    </row>
    <row r="94" spans="1:8" ht="13">
      <c r="A94" s="85" t="s">
        <v>1072</v>
      </c>
      <c r="B94" s="85" t="s">
        <v>71</v>
      </c>
      <c r="C94" s="85">
        <v>3</v>
      </c>
      <c r="D94" s="85" t="s">
        <v>1172</v>
      </c>
      <c r="E94" s="85" t="str">
        <f t="shared" si="0"/>
        <v>Databases and SQL::3::Use SQL to insert, update and delete data into a relational database</v>
      </c>
      <c r="F94" s="85">
        <v>4.0999999999999996</v>
      </c>
      <c r="G94" s="85" t="s">
        <v>911</v>
      </c>
      <c r="H94" s="85" t="s">
        <v>102</v>
      </c>
    </row>
    <row r="95" spans="1:8" ht="13">
      <c r="A95" s="85" t="s">
        <v>1072</v>
      </c>
      <c r="B95" s="85" t="s">
        <v>71</v>
      </c>
      <c r="C95" s="85">
        <v>4</v>
      </c>
      <c r="D95" s="85" t="s">
        <v>1173</v>
      </c>
      <c r="E95" s="85" t="str">
        <f t="shared" si="0"/>
        <v>Databases and SQL::4::Interrogate and update an existing database</v>
      </c>
      <c r="F95" s="85">
        <v>4.0999999999999996</v>
      </c>
      <c r="G95" s="85" t="s">
        <v>911</v>
      </c>
      <c r="H95" s="85" t="s">
        <v>102</v>
      </c>
    </row>
    <row r="96" spans="1:8" ht="13">
      <c r="A96" s="85" t="s">
        <v>1072</v>
      </c>
      <c r="B96" s="85" t="s">
        <v>71</v>
      </c>
      <c r="C96" s="85">
        <v>5</v>
      </c>
      <c r="D96" s="85" t="s">
        <v>1173</v>
      </c>
      <c r="E96" s="85" t="str">
        <f t="shared" si="0"/>
        <v>Databases and SQL::5::Interrogate and update an existing database</v>
      </c>
      <c r="F96" s="85">
        <v>4.0999999999999996</v>
      </c>
      <c r="G96" s="85" t="s">
        <v>911</v>
      </c>
      <c r="H96" s="85" t="s">
        <v>102</v>
      </c>
    </row>
    <row r="97" spans="1:8" ht="13">
      <c r="A97" s="85" t="s">
        <v>1072</v>
      </c>
      <c r="B97" s="85" t="s">
        <v>1174</v>
      </c>
      <c r="C97" s="85">
        <v>1</v>
      </c>
      <c r="D97" s="85" t="s">
        <v>1175</v>
      </c>
      <c r="E97" s="85" t="str">
        <f t="shared" si="0"/>
        <v>Data representations::1::Give examples of the use of representation</v>
      </c>
      <c r="F97" s="85" t="s">
        <v>960</v>
      </c>
      <c r="G97" s="85" t="s">
        <v>10</v>
      </c>
      <c r="H97" s="85" t="s">
        <v>102</v>
      </c>
    </row>
    <row r="98" spans="1:8" ht="13">
      <c r="A98" s="85" t="s">
        <v>1072</v>
      </c>
      <c r="B98" s="85" t="s">
        <v>1174</v>
      </c>
      <c r="C98" s="85">
        <v>1</v>
      </c>
      <c r="D98" s="85" t="s">
        <v>1176</v>
      </c>
      <c r="E98" s="85" t="str">
        <f t="shared" si="0"/>
        <v>Data representations::1::Explain how binary relates to two-state electrical signals</v>
      </c>
      <c r="F98" s="85" t="s">
        <v>960</v>
      </c>
      <c r="G98" s="85" t="s">
        <v>10</v>
      </c>
      <c r="H98" s="85" t="s">
        <v>102</v>
      </c>
    </row>
    <row r="99" spans="1:8" ht="13">
      <c r="A99" s="85" t="s">
        <v>1072</v>
      </c>
      <c r="B99" s="85" t="s">
        <v>1174</v>
      </c>
      <c r="C99" s="85">
        <v>2</v>
      </c>
      <c r="D99" s="85" t="s">
        <v>1177</v>
      </c>
      <c r="E99" s="85" t="str">
        <f t="shared" si="0"/>
        <v>Data representations::2::Work out what range of numbers can be stored in a specific number of bits</v>
      </c>
      <c r="F99" s="85" t="s">
        <v>960</v>
      </c>
      <c r="G99" s="85" t="s">
        <v>10</v>
      </c>
      <c r="H99" s="85" t="s">
        <v>102</v>
      </c>
    </row>
    <row r="100" spans="1:8" ht="13">
      <c r="A100" s="85" t="s">
        <v>1072</v>
      </c>
      <c r="B100" s="85" t="s">
        <v>1174</v>
      </c>
      <c r="C100" s="85">
        <v>2</v>
      </c>
      <c r="D100" s="85" t="s">
        <v>1178</v>
      </c>
      <c r="E100" s="85" t="str">
        <f t="shared" si="0"/>
        <v>Data representations::2::Explain the concept of a number base</v>
      </c>
      <c r="F100" s="85" t="s">
        <v>960</v>
      </c>
      <c r="G100" s="85" t="s">
        <v>10</v>
      </c>
      <c r="H100" s="85" t="s">
        <v>102</v>
      </c>
    </row>
    <row r="101" spans="1:8" ht="13">
      <c r="A101" s="85" t="s">
        <v>1072</v>
      </c>
      <c r="B101" s="85" t="s">
        <v>1174</v>
      </c>
      <c r="C101" s="85">
        <v>2</v>
      </c>
      <c r="D101" s="85" t="s">
        <v>1179</v>
      </c>
      <c r="E101" s="85" t="str">
        <f t="shared" si="0"/>
        <v>Data representations::2::Convert a positive binary integer to decimal</v>
      </c>
      <c r="F101" s="85" t="s">
        <v>960</v>
      </c>
      <c r="G101" s="85" t="s">
        <v>10</v>
      </c>
      <c r="H101" s="85" t="s">
        <v>102</v>
      </c>
    </row>
    <row r="102" spans="1:8" ht="13">
      <c r="A102" s="85" t="s">
        <v>1072</v>
      </c>
      <c r="B102" s="85" t="s">
        <v>1174</v>
      </c>
      <c r="C102" s="85">
        <v>2</v>
      </c>
      <c r="D102" s="85" t="s">
        <v>1180</v>
      </c>
      <c r="E102" s="85" t="str">
        <f t="shared" si="0"/>
        <v>Data representations::2::Convert a decimal number to binary</v>
      </c>
      <c r="F102" s="85" t="s">
        <v>960</v>
      </c>
      <c r="G102" s="85" t="s">
        <v>10</v>
      </c>
      <c r="H102" s="85" t="s">
        <v>102</v>
      </c>
    </row>
    <row r="103" spans="1:8" ht="13">
      <c r="A103" s="85" t="s">
        <v>1072</v>
      </c>
      <c r="B103" s="85" t="s">
        <v>1174</v>
      </c>
      <c r="C103" s="85">
        <v>2</v>
      </c>
      <c r="D103" s="85" t="s">
        <v>1181</v>
      </c>
      <c r="E103" s="85" t="str">
        <f t="shared" si="0"/>
        <v>Data representations::2::Define the term ‘bit’</v>
      </c>
      <c r="F103" s="85" t="s">
        <v>960</v>
      </c>
      <c r="G103" s="85" t="s">
        <v>10</v>
      </c>
      <c r="H103" s="85" t="s">
        <v>102</v>
      </c>
    </row>
    <row r="104" spans="1:8" ht="13">
      <c r="A104" s="85" t="s">
        <v>1072</v>
      </c>
      <c r="B104" s="85" t="s">
        <v>1174</v>
      </c>
      <c r="C104" s="85">
        <v>3</v>
      </c>
      <c r="D104" s="85" t="s">
        <v>1182</v>
      </c>
      <c r="E104" s="85" t="str">
        <f t="shared" si="0"/>
        <v>Data representations::3::Perform binary shifts (logical)</v>
      </c>
      <c r="F104" s="85" t="s">
        <v>960</v>
      </c>
      <c r="G104" s="85" t="s">
        <v>10</v>
      </c>
      <c r="H104" s="85" t="s">
        <v>102</v>
      </c>
    </row>
    <row r="105" spans="1:8" ht="13">
      <c r="A105" s="85" t="s">
        <v>1072</v>
      </c>
      <c r="B105" s="85" t="s">
        <v>1174</v>
      </c>
      <c r="C105" s="85">
        <v>3</v>
      </c>
      <c r="D105" s="85" t="s">
        <v>1183</v>
      </c>
      <c r="E105" s="85" t="str">
        <f t="shared" si="0"/>
        <v>Data representations::3::Perform binary addition</v>
      </c>
      <c r="F105" s="85" t="s">
        <v>960</v>
      </c>
      <c r="G105" s="85" t="s">
        <v>10</v>
      </c>
      <c r="H105" s="85" t="s">
        <v>102</v>
      </c>
    </row>
    <row r="106" spans="1:8" ht="13">
      <c r="A106" s="85" t="s">
        <v>1072</v>
      </c>
      <c r="B106" s="85" t="s">
        <v>1174</v>
      </c>
      <c r="C106" s="85">
        <v>3</v>
      </c>
      <c r="D106" s="85" t="s">
        <v>1184</v>
      </c>
      <c r="E106" s="85" t="str">
        <f t="shared" si="0"/>
        <v>Data representations::3::Explain why overflow might occur</v>
      </c>
      <c r="F106" s="85" t="s">
        <v>960</v>
      </c>
      <c r="G106" s="85" t="s">
        <v>10</v>
      </c>
      <c r="H106" s="85" t="s">
        <v>102</v>
      </c>
    </row>
    <row r="107" spans="1:8" ht="13">
      <c r="A107" s="85" t="s">
        <v>1072</v>
      </c>
      <c r="B107" s="85" t="s">
        <v>1174</v>
      </c>
      <c r="C107" s="85">
        <v>3</v>
      </c>
      <c r="D107" s="85" t="s">
        <v>1185</v>
      </c>
      <c r="E107" s="85" t="str">
        <f t="shared" si="0"/>
        <v>Data representations::3::Define the term ‘byte’</v>
      </c>
      <c r="F107" s="85" t="s">
        <v>960</v>
      </c>
      <c r="G107" s="85" t="s">
        <v>10</v>
      </c>
      <c r="H107" s="85" t="s">
        <v>102</v>
      </c>
    </row>
    <row r="108" spans="1:8" ht="13">
      <c r="A108" s="85" t="s">
        <v>1072</v>
      </c>
      <c r="B108" s="85" t="s">
        <v>1174</v>
      </c>
      <c r="C108" s="85">
        <v>4</v>
      </c>
      <c r="D108" s="85" t="s">
        <v>1186</v>
      </c>
      <c r="E108" s="85" t="str">
        <f t="shared" si="0"/>
        <v>Data representations::4::Explain how numbers are represented using hexadecimal</v>
      </c>
      <c r="F108" s="85" t="s">
        <v>960</v>
      </c>
      <c r="G108" s="85" t="s">
        <v>10</v>
      </c>
      <c r="H108" s="85" t="s">
        <v>102</v>
      </c>
    </row>
    <row r="109" spans="1:8" ht="13">
      <c r="A109" s="85" t="s">
        <v>1072</v>
      </c>
      <c r="B109" s="85" t="s">
        <v>1174</v>
      </c>
      <c r="C109" s="85">
        <v>4</v>
      </c>
      <c r="D109" s="85" t="s">
        <v>1187</v>
      </c>
      <c r="E109" s="85" t="str">
        <f t="shared" si="0"/>
        <v>Data representations::4::Convert decimal numbers to and from hexadecimal</v>
      </c>
      <c r="F109" s="85" t="s">
        <v>960</v>
      </c>
      <c r="G109" s="85" t="s">
        <v>10</v>
      </c>
      <c r="H109" s="85" t="s">
        <v>102</v>
      </c>
    </row>
    <row r="110" spans="1:8" ht="13">
      <c r="A110" s="85" t="s">
        <v>1072</v>
      </c>
      <c r="B110" s="85" t="s">
        <v>1174</v>
      </c>
      <c r="C110" s="85">
        <v>4</v>
      </c>
      <c r="D110" s="85" t="s">
        <v>1188</v>
      </c>
      <c r="E110" s="85" t="str">
        <f t="shared" si="0"/>
        <v>Data representations::4::Explain why and where hexadecimal notation is used</v>
      </c>
      <c r="F110" s="85" t="s">
        <v>960</v>
      </c>
      <c r="G110" s="85" t="s">
        <v>10</v>
      </c>
      <c r="H110" s="85" t="s">
        <v>102</v>
      </c>
    </row>
    <row r="111" spans="1:8" ht="13">
      <c r="A111" s="85" t="s">
        <v>1072</v>
      </c>
      <c r="B111" s="85" t="s">
        <v>1174</v>
      </c>
      <c r="C111" s="85">
        <v>5</v>
      </c>
      <c r="D111" s="85" t="s">
        <v>1189</v>
      </c>
      <c r="E111" s="85" t="str">
        <f t="shared" si="0"/>
        <v>Data representations::5::Be able to convert binary numbers to and from hexadecimal</v>
      </c>
      <c r="F111" s="85" t="s">
        <v>960</v>
      </c>
      <c r="G111" s="85" t="s">
        <v>10</v>
      </c>
      <c r="H111" s="85" t="s">
        <v>102</v>
      </c>
    </row>
    <row r="112" spans="1:8" ht="13">
      <c r="A112" s="85" t="s">
        <v>1072</v>
      </c>
      <c r="B112" s="85" t="s">
        <v>1174</v>
      </c>
      <c r="C112" s="85">
        <v>5</v>
      </c>
      <c r="D112" s="85" t="s">
        <v>1190</v>
      </c>
      <c r="E112" s="85" t="str">
        <f t="shared" si="0"/>
        <v>Data representations::5::Define the term ‘nibble’</v>
      </c>
      <c r="F112" s="85" t="s">
        <v>960</v>
      </c>
      <c r="G112" s="85" t="s">
        <v>10</v>
      </c>
      <c r="H112" s="85" t="s">
        <v>102</v>
      </c>
    </row>
    <row r="113" spans="1:8" ht="13">
      <c r="A113" s="85" t="s">
        <v>1072</v>
      </c>
      <c r="B113" s="85" t="s">
        <v>1174</v>
      </c>
      <c r="C113" s="85">
        <v>6</v>
      </c>
      <c r="D113" s="85" t="s">
        <v>1191</v>
      </c>
      <c r="E113" s="85" t="str">
        <f t="shared" si="0"/>
        <v>Data representations::6::Explain how ASCII is used to represent characters, and its limitations</v>
      </c>
      <c r="F113" s="85" t="s">
        <v>960</v>
      </c>
      <c r="G113" s="85" t="s">
        <v>10</v>
      </c>
      <c r="H113" s="85" t="s">
        <v>102</v>
      </c>
    </row>
    <row r="114" spans="1:8" ht="13">
      <c r="A114" s="85" t="s">
        <v>1072</v>
      </c>
      <c r="B114" s="85" t="s">
        <v>1174</v>
      </c>
      <c r="C114" s="85">
        <v>6</v>
      </c>
      <c r="D114" s="85" t="s">
        <v>1192</v>
      </c>
      <c r="E114" s="85" t="str">
        <f t="shared" si="0"/>
        <v>Data representations::6::Explain what a character set is</v>
      </c>
      <c r="F114" s="85" t="s">
        <v>960</v>
      </c>
      <c r="G114" s="85" t="s">
        <v>10</v>
      </c>
      <c r="H114" s="85" t="s">
        <v>102</v>
      </c>
    </row>
    <row r="115" spans="1:8" ht="13">
      <c r="A115" s="85" t="s">
        <v>1072</v>
      </c>
      <c r="B115" s="85" t="s">
        <v>1174</v>
      </c>
      <c r="C115" s="85">
        <v>6</v>
      </c>
      <c r="D115" s="85" t="s">
        <v>1193</v>
      </c>
      <c r="E115" s="85" t="str">
        <f t="shared" si="0"/>
        <v>Data representations::6::Explain the need for Unicode</v>
      </c>
      <c r="F115" s="85" t="s">
        <v>960</v>
      </c>
      <c r="G115" s="85" t="s">
        <v>10</v>
      </c>
      <c r="H115" s="85" t="s">
        <v>102</v>
      </c>
    </row>
    <row r="116" spans="1:8" ht="13">
      <c r="A116" s="85" t="s">
        <v>1072</v>
      </c>
      <c r="B116" s="85" t="s">
        <v>1174</v>
      </c>
      <c r="C116" s="85">
        <v>6</v>
      </c>
      <c r="D116" s="85" t="s">
        <v>1194</v>
      </c>
      <c r="E116" s="85" t="str">
        <f t="shared" si="0"/>
        <v>Data representations::6::Be able to calculate the number of bits needed to store a piece of text</v>
      </c>
      <c r="F116" s="85" t="s">
        <v>960</v>
      </c>
      <c r="G116" s="85" t="s">
        <v>10</v>
      </c>
      <c r="H116" s="85" t="s">
        <v>102</v>
      </c>
    </row>
    <row r="117" spans="1:8" ht="13">
      <c r="A117" s="85" t="s">
        <v>1072</v>
      </c>
      <c r="B117" s="85" t="s">
        <v>1174</v>
      </c>
      <c r="C117" s="85">
        <v>7</v>
      </c>
      <c r="D117" s="85" t="s">
        <v>1195</v>
      </c>
      <c r="E117" s="85" t="str">
        <f t="shared" si="0"/>
        <v>Data representations::7::Describe what a pixel is and how pixels relate to images</v>
      </c>
      <c r="F117" s="85" t="s">
        <v>960</v>
      </c>
      <c r="G117" s="85" t="s">
        <v>10</v>
      </c>
      <c r="H117" s="85" t="s">
        <v>102</v>
      </c>
    </row>
    <row r="118" spans="1:8" ht="13">
      <c r="A118" s="85" t="s">
        <v>1072</v>
      </c>
      <c r="B118" s="85" t="s">
        <v>1174</v>
      </c>
      <c r="C118" s="85">
        <v>7</v>
      </c>
      <c r="D118" s="85" t="s">
        <v>1196</v>
      </c>
      <c r="E118" s="85" t="str">
        <f t="shared" si="0"/>
        <v>Data representations::7::Explain how bitmaps are used to represent images</v>
      </c>
      <c r="F118" s="85" t="s">
        <v>960</v>
      </c>
      <c r="G118" s="85" t="s">
        <v>10</v>
      </c>
      <c r="H118" s="85" t="s">
        <v>102</v>
      </c>
    </row>
    <row r="119" spans="1:8" ht="13">
      <c r="A119" s="85" t="s">
        <v>1072</v>
      </c>
      <c r="B119" s="85" t="s">
        <v>1174</v>
      </c>
      <c r="C119" s="85">
        <v>7</v>
      </c>
      <c r="D119" s="85" t="s">
        <v>1197</v>
      </c>
      <c r="E119" s="85" t="str">
        <f t="shared" si="0"/>
        <v>Data representations::7::Convert between binary data and black and white bitmaps</v>
      </c>
      <c r="F119" s="85" t="s">
        <v>960</v>
      </c>
      <c r="G119" s="85" t="s">
        <v>10</v>
      </c>
      <c r="H119" s="85" t="s">
        <v>102</v>
      </c>
    </row>
    <row r="120" spans="1:8" ht="13">
      <c r="A120" s="85" t="s">
        <v>1072</v>
      </c>
      <c r="B120" s="85" t="s">
        <v>1174</v>
      </c>
      <c r="C120" s="85">
        <v>7</v>
      </c>
      <c r="D120" s="85" t="s">
        <v>1198</v>
      </c>
      <c r="E120" s="85" t="str">
        <f t="shared" si="0"/>
        <v>Data representations::7::Explain the relationship between resolution, colour depth, and file size for images</v>
      </c>
      <c r="F120" s="85" t="s">
        <v>960</v>
      </c>
      <c r="G120" s="85" t="s">
        <v>10</v>
      </c>
      <c r="H120" s="85" t="s">
        <v>102</v>
      </c>
    </row>
    <row r="121" spans="1:8" ht="13">
      <c r="A121" s="85" t="s">
        <v>1072</v>
      </c>
      <c r="B121" s="85" t="s">
        <v>1174</v>
      </c>
      <c r="C121" s="85">
        <v>7</v>
      </c>
      <c r="D121" s="85" t="s">
        <v>1199</v>
      </c>
      <c r="E121" s="85" t="str">
        <f t="shared" si="0"/>
        <v>Data representations::7::Describe colour depth and resolution, and how they impact on image quality</v>
      </c>
      <c r="F121" s="85" t="s">
        <v>960</v>
      </c>
      <c r="G121" s="85" t="s">
        <v>10</v>
      </c>
      <c r="H121" s="85" t="s">
        <v>102</v>
      </c>
    </row>
    <row r="122" spans="1:8" ht="13">
      <c r="A122" s="85" t="s">
        <v>1072</v>
      </c>
      <c r="B122" s="85" t="s">
        <v>1174</v>
      </c>
      <c r="C122" s="85">
        <v>8</v>
      </c>
      <c r="D122" s="85" t="s">
        <v>1200</v>
      </c>
      <c r="E122" s="85" t="str">
        <f t="shared" si="0"/>
        <v>Data representations::8::Define the terms ‘bit’, ‘nibble’, ‘byte’, ‘megabyte’, ‘gigabyte’, ‘terabyte’, and ‘petabyte’</v>
      </c>
      <c r="F122" s="85" t="s">
        <v>960</v>
      </c>
      <c r="G122" s="85" t="s">
        <v>10</v>
      </c>
      <c r="H122" s="85" t="s">
        <v>102</v>
      </c>
    </row>
    <row r="123" spans="1:8" ht="13">
      <c r="A123" s="85" t="s">
        <v>1072</v>
      </c>
      <c r="B123" s="85" t="s">
        <v>1174</v>
      </c>
      <c r="C123" s="85">
        <v>8</v>
      </c>
      <c r="D123" s="85" t="s">
        <v>1201</v>
      </c>
      <c r="E123" s="85" t="str">
        <f t="shared" si="0"/>
        <v>Data representations::8::Be able to convert between units of measurement</v>
      </c>
      <c r="F123" s="85" t="s">
        <v>960</v>
      </c>
      <c r="G123" s="85" t="s">
        <v>10</v>
      </c>
      <c r="H123" s="85" t="s">
        <v>102</v>
      </c>
    </row>
    <row r="124" spans="1:8" ht="13">
      <c r="A124" s="85" t="s">
        <v>1072</v>
      </c>
      <c r="B124" s="85" t="s">
        <v>1174</v>
      </c>
      <c r="C124" s="85">
        <v>8</v>
      </c>
      <c r="D124" s="85" t="s">
        <v>1202</v>
      </c>
      <c r="E124" s="85" t="str">
        <f t="shared" si="0"/>
        <v>Data representations::8::Explain the difference between raster and vector graphics</v>
      </c>
      <c r="F124" s="85" t="s">
        <v>960</v>
      </c>
      <c r="G124" s="85" t="s">
        <v>10</v>
      </c>
      <c r="H124" s="85" t="s">
        <v>102</v>
      </c>
    </row>
    <row r="125" spans="1:8" ht="13">
      <c r="A125" s="85" t="s">
        <v>1072</v>
      </c>
      <c r="B125" s="85" t="s">
        <v>1174</v>
      </c>
      <c r="C125" s="85">
        <v>8</v>
      </c>
      <c r="D125" s="85" t="s">
        <v>1203</v>
      </c>
      <c r="E125" s="85" t="str">
        <f t="shared" si="0"/>
        <v>Data representations::8::Describe the use of metadata in image files</v>
      </c>
      <c r="F125" s="85" t="s">
        <v>960</v>
      </c>
      <c r="G125" s="85" t="s">
        <v>10</v>
      </c>
      <c r="H125" s="85" t="s">
        <v>102</v>
      </c>
    </row>
    <row r="126" spans="1:8" ht="13">
      <c r="A126" s="85" t="s">
        <v>1072</v>
      </c>
      <c r="B126" s="85" t="s">
        <v>1174</v>
      </c>
      <c r="C126" s="85">
        <v>9</v>
      </c>
      <c r="D126" s="85" t="s">
        <v>1204</v>
      </c>
      <c r="E126" s="85" t="str">
        <f t="shared" si="0"/>
        <v>Data representations::9::Explain why analogue sound data needs to be converted to discrete values</v>
      </c>
      <c r="F126" s="85" t="s">
        <v>960</v>
      </c>
      <c r="G126" s="85" t="s">
        <v>10</v>
      </c>
      <c r="H126" s="85" t="s">
        <v>102</v>
      </c>
    </row>
    <row r="127" spans="1:8" ht="13">
      <c r="A127" s="85" t="s">
        <v>1072</v>
      </c>
      <c r="B127" s="85" t="s">
        <v>1174</v>
      </c>
      <c r="C127" s="85">
        <v>9</v>
      </c>
      <c r="D127" s="85" t="s">
        <v>1205</v>
      </c>
      <c r="E127" s="85" t="str">
        <f t="shared" si="0"/>
        <v>Data representations::9::Describe the concepts of sampling, sample rate, and sample resolution</v>
      </c>
      <c r="F127" s="85" t="s">
        <v>960</v>
      </c>
      <c r="G127" s="85" t="s">
        <v>10</v>
      </c>
      <c r="H127" s="85" t="s">
        <v>102</v>
      </c>
    </row>
    <row r="128" spans="1:8" ht="13">
      <c r="A128" s="85" t="s">
        <v>1072</v>
      </c>
      <c r="B128" s="85" t="s">
        <v>1174</v>
      </c>
      <c r="C128" s="85">
        <v>9</v>
      </c>
      <c r="D128" s="85" t="s">
        <v>1206</v>
      </c>
      <c r="E128" s="85" t="str">
        <f t="shared" si="0"/>
        <v>Data representations::9::Describe the use of metadata in sound files</v>
      </c>
      <c r="F128" s="85" t="s">
        <v>960</v>
      </c>
      <c r="G128" s="85" t="s">
        <v>10</v>
      </c>
      <c r="H128" s="85" t="s">
        <v>102</v>
      </c>
    </row>
    <row r="129" spans="1:8" ht="13">
      <c r="A129" s="85" t="s">
        <v>1072</v>
      </c>
      <c r="B129" s="85" t="s">
        <v>1174</v>
      </c>
      <c r="C129" s="85">
        <v>9</v>
      </c>
      <c r="D129" s="85" t="s">
        <v>1207</v>
      </c>
      <c r="E129" s="85" t="str">
        <f t="shared" si="0"/>
        <v>Data representations::9::Calculate file size requirements for sound files</v>
      </c>
      <c r="F129" s="85" t="s">
        <v>960</v>
      </c>
      <c r="G129" s="85" t="s">
        <v>10</v>
      </c>
      <c r="H129" s="85" t="s">
        <v>102</v>
      </c>
    </row>
    <row r="130" spans="1:8" ht="13">
      <c r="A130" s="85" t="s">
        <v>1072</v>
      </c>
      <c r="B130" s="85" t="s">
        <v>1174</v>
      </c>
      <c r="C130" s="85">
        <v>10</v>
      </c>
      <c r="D130" s="85" t="s">
        <v>1204</v>
      </c>
      <c r="E130" s="85" t="str">
        <f t="shared" si="0"/>
        <v>Data representations::10::Explain why analogue sound data needs to be converted to discrete values</v>
      </c>
      <c r="F130" s="85" t="s">
        <v>960</v>
      </c>
      <c r="G130" s="85" t="s">
        <v>10</v>
      </c>
      <c r="H130" s="85" t="s">
        <v>102</v>
      </c>
    </row>
    <row r="131" spans="1:8" ht="13">
      <c r="A131" s="85" t="s">
        <v>1072</v>
      </c>
      <c r="B131" s="85" t="s">
        <v>1174</v>
      </c>
      <c r="C131" s="85">
        <v>10</v>
      </c>
      <c r="D131" s="85" t="s">
        <v>1205</v>
      </c>
      <c r="E131" s="85" t="str">
        <f t="shared" si="0"/>
        <v>Data representations::10::Describe the concepts of sampling, sample rate, and sample resolution</v>
      </c>
      <c r="F131" s="85" t="s">
        <v>960</v>
      </c>
      <c r="G131" s="85" t="s">
        <v>10</v>
      </c>
      <c r="H131" s="85" t="s">
        <v>102</v>
      </c>
    </row>
    <row r="132" spans="1:8" ht="13">
      <c r="A132" s="85" t="s">
        <v>1072</v>
      </c>
      <c r="B132" s="85" t="s">
        <v>1174</v>
      </c>
      <c r="C132" s="85">
        <v>10</v>
      </c>
      <c r="D132" s="85" t="s">
        <v>1206</v>
      </c>
      <c r="E132" s="85" t="str">
        <f t="shared" si="0"/>
        <v>Data representations::10::Describe the use of metadata in sound files</v>
      </c>
      <c r="F132" s="85" t="s">
        <v>960</v>
      </c>
      <c r="G132" s="85" t="s">
        <v>10</v>
      </c>
      <c r="H132" s="85" t="s">
        <v>102</v>
      </c>
    </row>
    <row r="133" spans="1:8" ht="13">
      <c r="A133" s="85" t="s">
        <v>1072</v>
      </c>
      <c r="B133" s="85" t="s">
        <v>1174</v>
      </c>
      <c r="C133" s="85">
        <v>10</v>
      </c>
      <c r="D133" s="85" t="s">
        <v>1207</v>
      </c>
      <c r="E133" s="85" t="str">
        <f t="shared" si="0"/>
        <v>Data representations::10::Calculate file size requirements for sound files</v>
      </c>
      <c r="F133" s="85" t="s">
        <v>960</v>
      </c>
      <c r="G133" s="85" t="s">
        <v>10</v>
      </c>
      <c r="H133" s="85" t="s">
        <v>102</v>
      </c>
    </row>
    <row r="134" spans="1:8" ht="13">
      <c r="A134" s="85" t="s">
        <v>1072</v>
      </c>
      <c r="B134" s="85" t="s">
        <v>72</v>
      </c>
      <c r="C134" s="85">
        <v>1</v>
      </c>
      <c r="D134" s="85" t="s">
        <v>1208</v>
      </c>
      <c r="E134" s="85" t="str">
        <f t="shared" si="0"/>
        <v>HTML::1::Create a simple web page using basic tags</v>
      </c>
      <c r="F134" s="85" t="s">
        <v>960</v>
      </c>
      <c r="G134" s="85" t="s">
        <v>1209</v>
      </c>
      <c r="H134" s="85" t="s">
        <v>102</v>
      </c>
    </row>
    <row r="135" spans="1:8" ht="13">
      <c r="A135" s="85" t="s">
        <v>1072</v>
      </c>
      <c r="B135" s="85" t="s">
        <v>72</v>
      </c>
      <c r="C135" s="85">
        <v>1</v>
      </c>
      <c r="D135" s="85" t="s">
        <v>1210</v>
      </c>
      <c r="E135" s="85" t="str">
        <f t="shared" si="0"/>
        <v>HTML::1::Describe the purpose of HTML and tags when designing a website</v>
      </c>
      <c r="F135" s="85" t="s">
        <v>960</v>
      </c>
      <c r="G135" s="85" t="s">
        <v>558</v>
      </c>
      <c r="H135" s="85" t="s">
        <v>102</v>
      </c>
    </row>
    <row r="136" spans="1:8" ht="13">
      <c r="A136" s="85" t="s">
        <v>1072</v>
      </c>
      <c r="B136" s="85" t="s">
        <v>72</v>
      </c>
      <c r="C136" s="85">
        <v>2</v>
      </c>
      <c r="D136" s="85" t="s">
        <v>1211</v>
      </c>
      <c r="E136" s="85" t="str">
        <f t="shared" si="0"/>
        <v>HTML::2::Describe what is meant by the term ‘accessibility’</v>
      </c>
      <c r="F136" s="85" t="s">
        <v>960</v>
      </c>
      <c r="G136" s="85" t="s">
        <v>1212</v>
      </c>
      <c r="H136" s="85" t="s">
        <v>102</v>
      </c>
    </row>
    <row r="137" spans="1:8" ht="13">
      <c r="A137" s="85" t="s">
        <v>1072</v>
      </c>
      <c r="B137" s="85" t="s">
        <v>72</v>
      </c>
      <c r="C137" s="85">
        <v>2</v>
      </c>
      <c r="D137" s="85" t="s">
        <v>1213</v>
      </c>
      <c r="E137" s="85" t="str">
        <f t="shared" si="0"/>
        <v>HTML::2::Extend a HTML page to include images &lt;img&gt; and hyperlinks &lt;a href&gt;</v>
      </c>
      <c r="F137" s="85" t="s">
        <v>960</v>
      </c>
      <c r="G137" s="85" t="s">
        <v>739</v>
      </c>
      <c r="H137" s="85" t="s">
        <v>102</v>
      </c>
    </row>
    <row r="138" spans="1:8" ht="13">
      <c r="A138" s="85" t="s">
        <v>1072</v>
      </c>
      <c r="B138" s="85" t="s">
        <v>72</v>
      </c>
      <c r="C138" s="85">
        <v>3</v>
      </c>
      <c r="D138" s="85" t="s">
        <v>1214</v>
      </c>
      <c r="E138" s="85" t="str">
        <f t="shared" si="0"/>
        <v>HTML::3::Identify the common features of existing websites and the basics of what makes good web design</v>
      </c>
      <c r="F138" s="85" t="s">
        <v>960</v>
      </c>
      <c r="G138" s="85" t="s">
        <v>1215</v>
      </c>
      <c r="H138" s="85" t="s">
        <v>102</v>
      </c>
    </row>
    <row r="139" spans="1:8" ht="13">
      <c r="A139" s="85" t="s">
        <v>1072</v>
      </c>
      <c r="B139" s="85" t="s">
        <v>72</v>
      </c>
      <c r="C139" s="85">
        <v>3</v>
      </c>
      <c r="D139" s="85" t="s">
        <v>1216</v>
      </c>
      <c r="E139" s="85" t="str">
        <f t="shared" si="0"/>
        <v>HTML::3::Design and create pages for a mini website</v>
      </c>
      <c r="F139" s="85" t="s">
        <v>960</v>
      </c>
      <c r="G139" s="85" t="s">
        <v>1217</v>
      </c>
      <c r="H139" s="85" t="s">
        <v>102</v>
      </c>
    </row>
    <row r="140" spans="1:8" ht="13">
      <c r="A140" s="85" t="s">
        <v>1072</v>
      </c>
      <c r="B140" s="85" t="s">
        <v>72</v>
      </c>
      <c r="C140" s="85">
        <v>3</v>
      </c>
      <c r="D140" s="85" t="s">
        <v>1218</v>
      </c>
      <c r="E140" s="85" t="str">
        <f t="shared" si="0"/>
        <v>HTML::3::Create hyperlinks between pages stored locally within a folder</v>
      </c>
      <c r="F140" s="85" t="s">
        <v>960</v>
      </c>
      <c r="G140" s="85" t="s">
        <v>1217</v>
      </c>
      <c r="H140" s="85" t="s">
        <v>102</v>
      </c>
    </row>
    <row r="141" spans="1:8" ht="13">
      <c r="A141" s="85" t="s">
        <v>1072</v>
      </c>
      <c r="B141" s="85" t="s">
        <v>72</v>
      </c>
      <c r="C141" s="85">
        <v>3</v>
      </c>
      <c r="D141" s="85" t="s">
        <v>1219</v>
      </c>
      <c r="E141" s="85" t="str">
        <f t="shared" si="0"/>
        <v>HTML::3::Insert images stored locally within a folder</v>
      </c>
      <c r="F141" s="85" t="s">
        <v>960</v>
      </c>
      <c r="G141" s="85" t="s">
        <v>1217</v>
      </c>
      <c r="H141" s="85" t="s">
        <v>102</v>
      </c>
    </row>
    <row r="142" spans="1:8" ht="13">
      <c r="A142" s="85" t="s">
        <v>1072</v>
      </c>
      <c r="B142" s="85" t="s">
        <v>72</v>
      </c>
      <c r="C142" s="85">
        <v>4</v>
      </c>
      <c r="D142" s="85" t="s">
        <v>1220</v>
      </c>
      <c r="E142" s="85" t="str">
        <f t="shared" si="0"/>
        <v>HTML::4::Experiment with CSS by changing the style of the tags learnt so far in this unit</v>
      </c>
      <c r="F142" s="85" t="s">
        <v>960</v>
      </c>
      <c r="G142" s="85" t="s">
        <v>1217</v>
      </c>
      <c r="H142" s="85" t="s">
        <v>102</v>
      </c>
    </row>
    <row r="143" spans="1:8" ht="13">
      <c r="A143" s="85" t="s">
        <v>1072</v>
      </c>
      <c r="B143" s="85" t="s">
        <v>72</v>
      </c>
      <c r="C143" s="85">
        <v>4</v>
      </c>
      <c r="D143" s="85" t="s">
        <v>1221</v>
      </c>
      <c r="E143" s="85" t="str">
        <f t="shared" si="0"/>
        <v>HTML::4::Describe the purpose of CSS and why it is needed in addition to HTML</v>
      </c>
      <c r="F143" s="85" t="s">
        <v>960</v>
      </c>
      <c r="G143" s="85" t="s">
        <v>1217</v>
      </c>
      <c r="H143" s="85" t="s">
        <v>102</v>
      </c>
    </row>
    <row r="144" spans="1:8" ht="13">
      <c r="A144" s="85" t="s">
        <v>1072</v>
      </c>
      <c r="B144" s="85" t="s">
        <v>72</v>
      </c>
      <c r="C144" s="85">
        <v>5</v>
      </c>
      <c r="D144" s="85" t="s">
        <v>1222</v>
      </c>
      <c r="E144" s="85" t="str">
        <f t="shared" si="0"/>
        <v>HTML::5::Apply knowledge of CSS to DIVs within web pages using classes</v>
      </c>
      <c r="F144" s="85" t="s">
        <v>960</v>
      </c>
      <c r="G144" s="85" t="s">
        <v>1215</v>
      </c>
      <c r="H144" s="85" t="s">
        <v>102</v>
      </c>
    </row>
    <row r="145" spans="1:8" ht="13">
      <c r="A145" s="85" t="s">
        <v>1072</v>
      </c>
      <c r="B145" s="85" t="s">
        <v>72</v>
      </c>
      <c r="C145" s="85">
        <v>5</v>
      </c>
      <c r="D145" s="85" t="s">
        <v>1223</v>
      </c>
      <c r="E145" s="85" t="str">
        <f t="shared" si="0"/>
        <v>HTML::5::Describe the purpose of DIV tags</v>
      </c>
      <c r="F145" s="85" t="s">
        <v>960</v>
      </c>
      <c r="G145" s="85" t="s">
        <v>1215</v>
      </c>
      <c r="H145" s="85" t="s">
        <v>102</v>
      </c>
    </row>
    <row r="146" spans="1:8" ht="13">
      <c r="A146" s="85" t="s">
        <v>1072</v>
      </c>
      <c r="B146" s="85" t="s">
        <v>72</v>
      </c>
      <c r="C146" s="85">
        <v>6</v>
      </c>
      <c r="D146" s="85" t="s">
        <v>1224</v>
      </c>
      <c r="E146" s="85" t="str">
        <f t="shared" si="0"/>
        <v>HTML::6::Apply skills to position items within a page</v>
      </c>
      <c r="F146" s="85" t="s">
        <v>960</v>
      </c>
      <c r="G146" s="85" t="s">
        <v>1217</v>
      </c>
      <c r="H146" s="85" t="s">
        <v>102</v>
      </c>
    </row>
    <row r="147" spans="1:8" ht="13">
      <c r="A147" s="85" t="s">
        <v>1072</v>
      </c>
      <c r="B147" s="85" t="s">
        <v>72</v>
      </c>
      <c r="C147" s="85">
        <v>6</v>
      </c>
      <c r="D147" s="85" t="s">
        <v>1225</v>
      </c>
      <c r="E147" s="85" t="str">
        <f t="shared" si="0"/>
        <v>HTML::6::Explain how to plan a website by developing house style and sketched wireframe</v>
      </c>
      <c r="F147" s="85" t="s">
        <v>960</v>
      </c>
      <c r="G147" s="85" t="s">
        <v>558</v>
      </c>
      <c r="H147" s="85" t="s">
        <v>102</v>
      </c>
    </row>
    <row r="148" spans="1:8" ht="13">
      <c r="A148" s="85" t="s">
        <v>1072</v>
      </c>
      <c r="B148" s="85" t="s">
        <v>72</v>
      </c>
      <c r="C148" s="85">
        <v>6</v>
      </c>
      <c r="D148" s="85" t="s">
        <v>1226</v>
      </c>
      <c r="E148" s="85" t="str">
        <f t="shared" si="0"/>
        <v>HTML::6::Describe the box model in CSS</v>
      </c>
      <c r="F148" s="85" t="s">
        <v>960</v>
      </c>
      <c r="G148" s="85" t="s">
        <v>558</v>
      </c>
      <c r="H148" s="85" t="s">
        <v>102</v>
      </c>
    </row>
    <row r="149" spans="1:8" ht="13">
      <c r="A149" s="85" t="s">
        <v>1072</v>
      </c>
      <c r="B149" s="85" t="s">
        <v>72</v>
      </c>
      <c r="C149" s="85">
        <v>7</v>
      </c>
      <c r="D149" s="85" t="s">
        <v>1227</v>
      </c>
      <c r="E149" s="85" t="str">
        <f t="shared" si="0"/>
        <v>HTML::7::Self/peer evaluate the webpage produced using a rubric</v>
      </c>
      <c r="F149" s="85" t="s">
        <v>960</v>
      </c>
      <c r="G149" s="85" t="s">
        <v>12</v>
      </c>
      <c r="H149" s="85" t="s">
        <v>102</v>
      </c>
    </row>
    <row r="150" spans="1:8" ht="13">
      <c r="A150" s="85" t="s">
        <v>1072</v>
      </c>
      <c r="B150" s="85" t="s">
        <v>72</v>
      </c>
      <c r="C150" s="85">
        <v>7</v>
      </c>
      <c r="D150" s="85" t="s">
        <v>1228</v>
      </c>
      <c r="E150" s="85" t="str">
        <f t="shared" si="0"/>
        <v>HTML::7::Construct a three-page website to showcase the skills learned throughout this unit of study</v>
      </c>
      <c r="F150" s="85" t="s">
        <v>960</v>
      </c>
      <c r="G150" s="85" t="s">
        <v>1217</v>
      </c>
      <c r="H150" s="85" t="s">
        <v>102</v>
      </c>
    </row>
    <row r="151" spans="1:8" ht="13">
      <c r="A151" s="85" t="s">
        <v>1072</v>
      </c>
      <c r="B151" s="85" t="s">
        <v>72</v>
      </c>
      <c r="C151" s="85">
        <v>8</v>
      </c>
      <c r="D151" s="85" t="s">
        <v>1229</v>
      </c>
      <c r="E151" s="85" t="str">
        <f t="shared" si="0"/>
        <v>HTML::8::Extend/finish the assessed website</v>
      </c>
      <c r="F151" s="85" t="s">
        <v>960</v>
      </c>
      <c r="G151" s="85" t="s">
        <v>1217</v>
      </c>
      <c r="H151" s="85" t="s">
        <v>102</v>
      </c>
    </row>
    <row r="152" spans="1:8" ht="13">
      <c r="A152" s="85" t="s">
        <v>1072</v>
      </c>
      <c r="B152" s="85" t="s">
        <v>72</v>
      </c>
      <c r="C152" s="85">
        <v>8</v>
      </c>
      <c r="D152" s="85" t="s">
        <v>1230</v>
      </c>
      <c r="E152" s="85" t="str">
        <f t="shared" si="0"/>
        <v>HTML::8::Showcase the assessed website</v>
      </c>
      <c r="F152" s="85" t="s">
        <v>960</v>
      </c>
      <c r="G152" s="85" t="s">
        <v>12</v>
      </c>
      <c r="H152" s="85" t="s">
        <v>102</v>
      </c>
    </row>
    <row r="153" spans="1:8" ht="13">
      <c r="A153" s="85" t="s">
        <v>1072</v>
      </c>
      <c r="B153" s="85" t="s">
        <v>72</v>
      </c>
      <c r="C153" s="85">
        <v>8</v>
      </c>
      <c r="D153" s="85" t="s">
        <v>1231</v>
      </c>
      <c r="E153" s="85" t="str">
        <f t="shared" si="0"/>
        <v>HTML::8::Demonstrate how much has been learnt by taking an end of unit test</v>
      </c>
      <c r="F153" s="85" t="s">
        <v>960</v>
      </c>
      <c r="G153" s="85" t="s">
        <v>1217</v>
      </c>
      <c r="H153" s="85" t="s">
        <v>102</v>
      </c>
    </row>
    <row r="154" spans="1:8" ht="13">
      <c r="A154" s="85" t="s">
        <v>1072</v>
      </c>
      <c r="B154" s="85" t="s">
        <v>70</v>
      </c>
      <c r="C154" s="85">
        <v>1</v>
      </c>
      <c r="D154" s="85" t="s">
        <v>1232</v>
      </c>
      <c r="E154" s="85" t="str">
        <f t="shared" si="0"/>
        <v>Impacts of technology::1::Apply the terms ‘privacy’, ‘legal’, ‘ethical’, ‘environmental’, and ‘cultural’</v>
      </c>
      <c r="F154" s="85">
        <v>4.0999999999999996</v>
      </c>
      <c r="G154" s="85" t="s">
        <v>16</v>
      </c>
      <c r="H154" s="85" t="s">
        <v>68</v>
      </c>
    </row>
    <row r="155" spans="1:8" ht="13">
      <c r="A155" s="85" t="s">
        <v>1072</v>
      </c>
      <c r="B155" s="85" t="s">
        <v>70</v>
      </c>
      <c r="C155" s="85">
        <v>1</v>
      </c>
      <c r="D155" s="85" t="s">
        <v>1233</v>
      </c>
      <c r="E155" s="85" t="str">
        <f t="shared" si="0"/>
        <v>Impacts of technology::1::Explain data legislation, including an organisation’s obligation to protect and supply data</v>
      </c>
      <c r="F155" s="85">
        <v>4.0999999999999996</v>
      </c>
      <c r="G155" s="85" t="s">
        <v>853</v>
      </c>
      <c r="H155" s="85" t="s">
        <v>68</v>
      </c>
    </row>
    <row r="156" spans="1:8" ht="13">
      <c r="A156" s="85" t="s">
        <v>1072</v>
      </c>
      <c r="B156" s="85" t="s">
        <v>70</v>
      </c>
      <c r="C156" s="85">
        <v>2</v>
      </c>
      <c r="D156" s="85" t="s">
        <v>1234</v>
      </c>
      <c r="E156" s="85" t="str">
        <f t="shared" si="0"/>
        <v>Impacts of technology::2::Explain the term ‘stakeholder’</v>
      </c>
      <c r="F156" s="85">
        <v>4.0999999999999996</v>
      </c>
      <c r="G156" s="85" t="s">
        <v>16</v>
      </c>
      <c r="H156" s="85" t="s">
        <v>68</v>
      </c>
    </row>
    <row r="157" spans="1:8" ht="13">
      <c r="A157" s="85" t="s">
        <v>1072</v>
      </c>
      <c r="B157" s="85" t="s">
        <v>70</v>
      </c>
      <c r="C157" s="85">
        <v>2</v>
      </c>
      <c r="D157" s="85" t="s">
        <v>1235</v>
      </c>
      <c r="E157" s="85" t="str">
        <f t="shared" si="0"/>
        <v>Impacts of technology::2::Explain the right to be forgotten</v>
      </c>
      <c r="F157" s="85">
        <v>4.0999999999999996</v>
      </c>
      <c r="G157" s="85" t="s">
        <v>853</v>
      </c>
      <c r="H157" s="85" t="s">
        <v>68</v>
      </c>
    </row>
    <row r="158" spans="1:8" ht="13">
      <c r="A158" s="85" t="s">
        <v>1072</v>
      </c>
      <c r="B158" s="85" t="s">
        <v>70</v>
      </c>
      <c r="C158" s="85">
        <v>2</v>
      </c>
      <c r="D158" s="85" t="s">
        <v>1236</v>
      </c>
      <c r="E158" s="85" t="str">
        <f t="shared" si="0"/>
        <v>Impacts of technology::2::Distinguish the differences between legitimate creative uses and clear infringement of material subject to copyright</v>
      </c>
      <c r="F158" s="85">
        <v>4.0999999999999996</v>
      </c>
      <c r="G158" s="85" t="s">
        <v>16</v>
      </c>
      <c r="H158" s="85" t="s">
        <v>68</v>
      </c>
    </row>
    <row r="159" spans="1:8" ht="13">
      <c r="A159" s="85" t="s">
        <v>1072</v>
      </c>
      <c r="B159" s="85" t="s">
        <v>70</v>
      </c>
      <c r="C159" s="85">
        <v>3</v>
      </c>
      <c r="D159" s="85" t="s">
        <v>1237</v>
      </c>
      <c r="E159" s="85" t="str">
        <f t="shared" si="0"/>
        <v>Impacts of technology::3::Explain the Freedom of Information Act</v>
      </c>
      <c r="F159" s="85">
        <v>4.0999999999999996</v>
      </c>
      <c r="G159" s="85" t="s">
        <v>16</v>
      </c>
      <c r="H159" s="85" t="s">
        <v>68</v>
      </c>
    </row>
    <row r="160" spans="1:8" ht="13">
      <c r="A160" s="85" t="s">
        <v>1072</v>
      </c>
      <c r="B160" s="85" t="s">
        <v>70</v>
      </c>
      <c r="C160" s="85">
        <v>3</v>
      </c>
      <c r="D160" s="85" t="s">
        <v>1238</v>
      </c>
      <c r="E160" s="85" t="str">
        <f t="shared" si="0"/>
        <v>Impacts of technology::3::Define ‘computer misuse’ and the associated offences</v>
      </c>
      <c r="F160" s="85">
        <v>4.0999999999999996</v>
      </c>
      <c r="G160" s="85" t="s">
        <v>85</v>
      </c>
      <c r="H160" s="85" t="s">
        <v>68</v>
      </c>
    </row>
    <row r="161" spans="1:8" ht="13">
      <c r="A161" s="85" t="s">
        <v>1072</v>
      </c>
      <c r="B161" s="85" t="s">
        <v>70</v>
      </c>
      <c r="C161" s="85">
        <v>3</v>
      </c>
      <c r="D161" s="85" t="s">
        <v>1239</v>
      </c>
      <c r="E161" s="85" t="str">
        <f t="shared" si="0"/>
        <v>Impacts of technology::3::Identify situations that would be classified as an offence under the Act</v>
      </c>
      <c r="F161" s="85">
        <v>4.0999999999999996</v>
      </c>
      <c r="G161" s="85" t="s">
        <v>16</v>
      </c>
      <c r="H161" s="85" t="s">
        <v>68</v>
      </c>
    </row>
    <row r="162" spans="1:8" ht="13">
      <c r="A162" s="85" t="s">
        <v>1072</v>
      </c>
      <c r="B162" s="85" t="s">
        <v>70</v>
      </c>
      <c r="C162" s="85">
        <v>4</v>
      </c>
      <c r="D162" s="85" t="s">
        <v>1240</v>
      </c>
      <c r="E162" s="85" t="str">
        <f t="shared" si="0"/>
        <v>Impacts of technology::4::Define ‘downtime’ and explain the associated impact on an organisation</v>
      </c>
      <c r="F162" s="85">
        <v>4.0999999999999996</v>
      </c>
      <c r="G162" s="85" t="s">
        <v>85</v>
      </c>
      <c r="H162" s="85" t="s">
        <v>68</v>
      </c>
    </row>
    <row r="163" spans="1:8" ht="13">
      <c r="A163" s="85" t="s">
        <v>1072</v>
      </c>
      <c r="B163" s="85" t="s">
        <v>70</v>
      </c>
      <c r="C163" s="85">
        <v>4</v>
      </c>
      <c r="D163" s="85" t="s">
        <v>1241</v>
      </c>
      <c r="E163" s="85" t="str">
        <f t="shared" si="0"/>
        <v>Impacts of technology::4::Explain what is meant by the ‘digital divide’ and measures to mitigate its effect</v>
      </c>
      <c r="F163" s="85">
        <v>4.0999999999999996</v>
      </c>
      <c r="G163" s="85" t="s">
        <v>179</v>
      </c>
      <c r="H163" s="85" t="s">
        <v>68</v>
      </c>
    </row>
    <row r="164" spans="1:8" ht="13">
      <c r="A164" s="85" t="s">
        <v>1072</v>
      </c>
      <c r="B164" s="85" t="s">
        <v>70</v>
      </c>
      <c r="C164" s="85">
        <v>4</v>
      </c>
      <c r="D164" s="85" t="s">
        <v>1242</v>
      </c>
      <c r="E164" s="85" t="str">
        <f t="shared" si="0"/>
        <v>Impacts of technology::4::Identify positive and negative aspects of the use of mobile technology</v>
      </c>
      <c r="F164" s="85">
        <v>4.0999999999999996</v>
      </c>
      <c r="G164" s="85" t="s">
        <v>179</v>
      </c>
      <c r="H164" s="85" t="s">
        <v>68</v>
      </c>
    </row>
    <row r="165" spans="1:8" ht="13">
      <c r="A165" s="85" t="s">
        <v>1072</v>
      </c>
      <c r="B165" s="85" t="s">
        <v>70</v>
      </c>
      <c r="C165" s="85">
        <v>5</v>
      </c>
      <c r="D165" s="85" t="s">
        <v>1243</v>
      </c>
      <c r="E165" s="85" t="str">
        <f t="shared" si="0"/>
        <v>Impacts of technology::5::Identify the implications of having personal data online</v>
      </c>
      <c r="F165" s="85">
        <v>4.0999999999999996</v>
      </c>
      <c r="G165" s="85" t="s">
        <v>451</v>
      </c>
      <c r="H165" s="85" t="s">
        <v>68</v>
      </c>
    </row>
    <row r="166" spans="1:8" ht="13">
      <c r="A166" s="85" t="s">
        <v>1072</v>
      </c>
      <c r="B166" s="85" t="s">
        <v>70</v>
      </c>
      <c r="C166" s="85">
        <v>5</v>
      </c>
      <c r="D166" s="85" t="s">
        <v>1244</v>
      </c>
      <c r="E166" s="85" t="str">
        <f t="shared" si="0"/>
        <v>Impacts of technology::5::Explain the social and environmental impacts of social media</v>
      </c>
      <c r="F166" s="85">
        <v>4.0999999999999996</v>
      </c>
      <c r="G166" s="85" t="s">
        <v>451</v>
      </c>
      <c r="H166" s="85" t="s">
        <v>68</v>
      </c>
    </row>
    <row r="167" spans="1:8" ht="13">
      <c r="A167" s="85" t="s">
        <v>1072</v>
      </c>
      <c r="B167" s="85" t="s">
        <v>70</v>
      </c>
      <c r="C167" s="85">
        <v>5</v>
      </c>
      <c r="D167" s="85" t="s">
        <v>1245</v>
      </c>
      <c r="E167" s="85" t="str">
        <f t="shared" si="0"/>
        <v>Impacts of technology::5::Explain the positive and negative effects of online content</v>
      </c>
      <c r="F167" s="85">
        <v>4.0999999999999996</v>
      </c>
      <c r="G167" s="85" t="s">
        <v>451</v>
      </c>
      <c r="H167" s="85" t="s">
        <v>68</v>
      </c>
    </row>
    <row r="168" spans="1:8" ht="13">
      <c r="A168" s="85" t="s">
        <v>1072</v>
      </c>
      <c r="B168" s="85" t="s">
        <v>70</v>
      </c>
      <c r="C168" s="85">
        <v>6</v>
      </c>
      <c r="D168" s="85" t="s">
        <v>1246</v>
      </c>
      <c r="E168" s="85" t="str">
        <f t="shared" si="0"/>
        <v>Impacts of technology::6::Explain the environmental effects of the use of technology</v>
      </c>
      <c r="F168" s="85">
        <v>4.0999999999999996</v>
      </c>
      <c r="G168" s="85" t="s">
        <v>85</v>
      </c>
      <c r="H168" s="85" t="s">
        <v>68</v>
      </c>
    </row>
    <row r="169" spans="1:8" ht="13">
      <c r="A169" s="85" t="s">
        <v>1072</v>
      </c>
      <c r="B169" s="85" t="s">
        <v>70</v>
      </c>
      <c r="C169" s="85">
        <v>7</v>
      </c>
      <c r="D169" s="85" t="s">
        <v>1247</v>
      </c>
      <c r="E169" s="85" t="str">
        <f t="shared" si="0"/>
        <v>Impacts of technology::7::Explain the ethical issues surrounding the use of AI in society</v>
      </c>
      <c r="F169" s="85">
        <v>4.0999999999999996</v>
      </c>
      <c r="G169" s="85" t="s">
        <v>1248</v>
      </c>
      <c r="H169" s="85" t="s">
        <v>68</v>
      </c>
    </row>
    <row r="170" spans="1:8" ht="13">
      <c r="A170" s="85" t="s">
        <v>1072</v>
      </c>
      <c r="B170" s="85" t="s">
        <v>70</v>
      </c>
      <c r="C170" s="85">
        <v>7</v>
      </c>
      <c r="D170" s="85" t="s">
        <v>1249</v>
      </c>
      <c r="E170" s="85" t="str">
        <f t="shared" si="0"/>
        <v>Impacts of technology::7::Explain the ethical impact of using algorithms to make decisions</v>
      </c>
      <c r="F170" s="85">
        <v>4.0999999999999996</v>
      </c>
      <c r="G170" s="85" t="s">
        <v>147</v>
      </c>
      <c r="H170" s="85" t="s">
        <v>68</v>
      </c>
    </row>
    <row r="171" spans="1:8" ht="13">
      <c r="A171" s="85" t="s">
        <v>1072</v>
      </c>
      <c r="B171" s="85" t="s">
        <v>70</v>
      </c>
      <c r="C171" s="85">
        <v>8</v>
      </c>
      <c r="D171" s="85" t="s">
        <v>1250</v>
      </c>
      <c r="E171" s="85" t="str">
        <f t="shared" si="0"/>
        <v>Impacts of technology::8::Demonstrate knowledge of the five impacts of technology</v>
      </c>
      <c r="F171" s="85">
        <v>4.0999999999999996</v>
      </c>
      <c r="G171" s="85" t="s">
        <v>16</v>
      </c>
      <c r="H171" s="85" t="s">
        <v>68</v>
      </c>
    </row>
    <row r="172" spans="1:8" ht="13">
      <c r="A172" s="85" t="s">
        <v>1072</v>
      </c>
      <c r="B172" s="85" t="s">
        <v>7</v>
      </c>
      <c r="C172" s="85">
        <v>1</v>
      </c>
      <c r="D172" s="85" t="s">
        <v>1251</v>
      </c>
      <c r="E172" s="85" t="str">
        <f t="shared" si="0"/>
        <v>Networks::1::Define what networks are</v>
      </c>
      <c r="F172" s="85">
        <v>4.0999999999999996</v>
      </c>
      <c r="G172" s="85" t="s">
        <v>271</v>
      </c>
      <c r="H172" s="85" t="s">
        <v>102</v>
      </c>
    </row>
    <row r="173" spans="1:8" ht="13">
      <c r="A173" s="85" t="s">
        <v>1072</v>
      </c>
      <c r="B173" s="85" t="s">
        <v>7</v>
      </c>
      <c r="C173" s="85">
        <v>1</v>
      </c>
      <c r="D173" s="85" t="s">
        <v>1252</v>
      </c>
      <c r="E173" s="85" t="str">
        <f t="shared" si="0"/>
        <v>Networks::1::Describe the hardware components required to build networks of devices</v>
      </c>
      <c r="F173" s="85">
        <v>4.0999999999999996</v>
      </c>
      <c r="G173" s="85" t="s">
        <v>271</v>
      </c>
      <c r="H173" s="85" t="s">
        <v>102</v>
      </c>
    </row>
    <row r="174" spans="1:8" ht="13">
      <c r="A174" s="85" t="s">
        <v>1072</v>
      </c>
      <c r="B174" s="85" t="s">
        <v>7</v>
      </c>
      <c r="C174" s="85">
        <v>1</v>
      </c>
      <c r="D174" s="85" t="s">
        <v>1253</v>
      </c>
      <c r="E174" s="85" t="str">
        <f t="shared" si="0"/>
        <v>Networks::1::Analyse the benefits and problems associated with networks</v>
      </c>
      <c r="F174" s="85">
        <v>4.0999999999999996</v>
      </c>
      <c r="G174" s="85" t="s">
        <v>6</v>
      </c>
      <c r="H174" s="85" t="s">
        <v>102</v>
      </c>
    </row>
    <row r="175" spans="1:8" ht="13">
      <c r="A175" s="85" t="s">
        <v>1072</v>
      </c>
      <c r="B175" s="85" t="s">
        <v>7</v>
      </c>
      <c r="C175" s="85">
        <v>2</v>
      </c>
      <c r="D175" s="85" t="s">
        <v>1254</v>
      </c>
      <c r="E175" s="85" t="str">
        <f t="shared" si="0"/>
        <v>Networks::2::Explain how devices can be connected to a network either through a wired or wireless connection</v>
      </c>
      <c r="F175" s="85">
        <v>4.0999999999999996</v>
      </c>
      <c r="G175" s="85" t="s">
        <v>271</v>
      </c>
      <c r="H175" s="85" t="s">
        <v>102</v>
      </c>
    </row>
    <row r="176" spans="1:8" ht="13">
      <c r="A176" s="85" t="s">
        <v>1072</v>
      </c>
      <c r="B176" s="85" t="s">
        <v>7</v>
      </c>
      <c r="C176" s="85">
        <v>2</v>
      </c>
      <c r="D176" s="85" t="s">
        <v>1255</v>
      </c>
      <c r="E176" s="85" t="str">
        <f t="shared" si="0"/>
        <v>Networks::2::Define MAC addresses and their use in networks</v>
      </c>
      <c r="F176" s="85">
        <v>4.0999999999999996</v>
      </c>
      <c r="G176" s="85" t="s">
        <v>6</v>
      </c>
      <c r="H176" s="85" t="s">
        <v>102</v>
      </c>
    </row>
    <row r="177" spans="1:8" ht="13">
      <c r="A177" s="85" t="s">
        <v>1072</v>
      </c>
      <c r="B177" s="85" t="s">
        <v>7</v>
      </c>
      <c r="C177" s="85">
        <v>2</v>
      </c>
      <c r="D177" s="85" t="s">
        <v>1256</v>
      </c>
      <c r="E177" s="85" t="str">
        <f t="shared" si="0"/>
        <v>Networks::2::Analyse specific examples including Ethernet and Wi-Fi</v>
      </c>
      <c r="F177" s="85">
        <v>4.0999999999999996</v>
      </c>
      <c r="G177" s="85" t="s">
        <v>6</v>
      </c>
      <c r="H177" s="85" t="s">
        <v>102</v>
      </c>
    </row>
    <row r="178" spans="1:8" ht="13">
      <c r="A178" s="85" t="s">
        <v>1072</v>
      </c>
      <c r="B178" s="85" t="s">
        <v>7</v>
      </c>
      <c r="C178" s="85">
        <v>2</v>
      </c>
      <c r="D178" s="85" t="s">
        <v>1257</v>
      </c>
      <c r="E178" s="85" t="str">
        <f t="shared" si="0"/>
        <v>Networks::2::Explain the importance of connectivity in modern computing systems</v>
      </c>
      <c r="F178" s="85">
        <v>4.0999999999999996</v>
      </c>
      <c r="G178" s="85" t="s">
        <v>6</v>
      </c>
      <c r="H178" s="85" t="s">
        <v>102</v>
      </c>
    </row>
    <row r="179" spans="1:8" ht="13">
      <c r="A179" s="85" t="s">
        <v>1072</v>
      </c>
      <c r="B179" s="85" t="s">
        <v>7</v>
      </c>
      <c r="C179" s="85">
        <v>3</v>
      </c>
      <c r="D179" s="85" t="s">
        <v>1258</v>
      </c>
      <c r="E179" s="85" t="str">
        <f t="shared" si="0"/>
        <v>Networks::3::List and describe the different types of networks depending on node distribution, including personal, local, and wide area networks</v>
      </c>
      <c r="F179" s="85">
        <v>4.0999999999999996</v>
      </c>
      <c r="G179" s="85" t="s">
        <v>6</v>
      </c>
      <c r="H179" s="85" t="s">
        <v>102</v>
      </c>
    </row>
    <row r="180" spans="1:8" ht="13">
      <c r="A180" s="85" t="s">
        <v>1072</v>
      </c>
      <c r="B180" s="85" t="s">
        <v>7</v>
      </c>
      <c r="C180" s="85">
        <v>3</v>
      </c>
      <c r="D180" s="85" t="s">
        <v>1259</v>
      </c>
      <c r="E180" s="85" t="str">
        <f t="shared" si="0"/>
        <v>Networks::3::List, describe, and compare the different types of networks depending on topology, such as ring, star, and bus</v>
      </c>
      <c r="F180" s="85">
        <v>4.0999999999999996</v>
      </c>
      <c r="G180" s="85" t="s">
        <v>6</v>
      </c>
      <c r="H180" s="85" t="s">
        <v>102</v>
      </c>
    </row>
    <row r="181" spans="1:8" ht="13">
      <c r="A181" s="85" t="s">
        <v>1072</v>
      </c>
      <c r="B181" s="85" t="s">
        <v>7</v>
      </c>
      <c r="C181" s="85">
        <v>4</v>
      </c>
      <c r="D181" s="85" t="s">
        <v>1260</v>
      </c>
      <c r="E181" s="85" t="str">
        <f t="shared" si="0"/>
        <v>Networks::4::List, describe, and compare the different types of communication models encountered in networks, such as server–client and peer-to-peer</v>
      </c>
      <c r="F181" s="85">
        <v>4.0999999999999996</v>
      </c>
      <c r="G181" s="85" t="s">
        <v>6</v>
      </c>
      <c r="H181" s="85" t="s">
        <v>102</v>
      </c>
    </row>
    <row r="182" spans="1:8" ht="13">
      <c r="A182" s="85" t="s">
        <v>1072</v>
      </c>
      <c r="B182" s="85" t="s">
        <v>7</v>
      </c>
      <c r="C182" s="85">
        <v>5</v>
      </c>
      <c r="D182" s="85" t="s">
        <v>1261</v>
      </c>
      <c r="E182" s="85" t="str">
        <f t="shared" si="0"/>
        <v>Networks::5::Define and describe the internet</v>
      </c>
      <c r="F182" s="85">
        <v>4.0999999999999996</v>
      </c>
      <c r="G182" s="85" t="s">
        <v>6</v>
      </c>
      <c r="H182" s="85" t="s">
        <v>102</v>
      </c>
    </row>
    <row r="183" spans="1:8" ht="13">
      <c r="A183" s="85" t="s">
        <v>1072</v>
      </c>
      <c r="B183" s="85" t="s">
        <v>7</v>
      </c>
      <c r="C183" s="85">
        <v>5</v>
      </c>
      <c r="D183" s="85" t="s">
        <v>1262</v>
      </c>
      <c r="E183" s="85" t="str">
        <f t="shared" si="0"/>
        <v>Networks::5::Define the WWW and describe its main components</v>
      </c>
      <c r="F183" s="85">
        <v>4.0999999999999996</v>
      </c>
      <c r="G183" s="85" t="s">
        <v>6</v>
      </c>
      <c r="H183" s="85" t="s">
        <v>102</v>
      </c>
    </row>
    <row r="184" spans="1:8" ht="13">
      <c r="A184" s="85" t="s">
        <v>1072</v>
      </c>
      <c r="B184" s="85" t="s">
        <v>7</v>
      </c>
      <c r="C184" s="85">
        <v>6</v>
      </c>
      <c r="D184" s="85" t="s">
        <v>1263</v>
      </c>
      <c r="E184" s="85" t="str">
        <f t="shared" si="0"/>
        <v>Networks::6::Define and explain the concept of a networking protocol</v>
      </c>
      <c r="F184" s="85">
        <v>4.0999999999999996</v>
      </c>
      <c r="G184" s="85" t="s">
        <v>6</v>
      </c>
      <c r="H184" s="85" t="s">
        <v>102</v>
      </c>
    </row>
    <row r="185" spans="1:8" ht="13">
      <c r="A185" s="85" t="s">
        <v>1072</v>
      </c>
      <c r="B185" s="85" t="s">
        <v>7</v>
      </c>
      <c r="C185" s="85">
        <v>6</v>
      </c>
      <c r="D185" s="85" t="s">
        <v>1264</v>
      </c>
      <c r="E185" s="85" t="str">
        <f t="shared" si="0"/>
        <v>Networks::6::List and explain standard internet protocols in the application layer, such as HTTP, HTTPS, FTP, DNS, SMTP, POP, and IMAP</v>
      </c>
      <c r="F185" s="85">
        <v>4.0999999999999996</v>
      </c>
      <c r="G185" s="85" t="s">
        <v>6</v>
      </c>
      <c r="H185" s="85" t="s">
        <v>102</v>
      </c>
    </row>
    <row r="186" spans="1:8" ht="13">
      <c r="A186" s="85" t="s">
        <v>1072</v>
      </c>
      <c r="B186" s="85" t="s">
        <v>7</v>
      </c>
      <c r="C186" s="85">
        <v>7</v>
      </c>
      <c r="D186" s="85" t="s">
        <v>1265</v>
      </c>
      <c r="E186" s="85" t="str">
        <f t="shared" si="0"/>
        <v>Networks::7::Explain and describe the advantages and disadvantages of circuit switching and packet switching</v>
      </c>
      <c r="F186" s="85">
        <v>4.0999999999999996</v>
      </c>
      <c r="G186" s="85" t="s">
        <v>6</v>
      </c>
      <c r="H186" s="85" t="s">
        <v>102</v>
      </c>
    </row>
    <row r="187" spans="1:8" ht="13">
      <c r="A187" s="85" t="s">
        <v>1072</v>
      </c>
      <c r="B187" s="85" t="s">
        <v>7</v>
      </c>
      <c r="C187" s="85">
        <v>7</v>
      </c>
      <c r="D187" s="85" t="s">
        <v>1266</v>
      </c>
      <c r="E187" s="85" t="str">
        <f t="shared" si="0"/>
        <v>Networks::7::List and explain the four different layers associated with the Internet Protocol: link, network/internet, transport, and application</v>
      </c>
      <c r="F187" s="85">
        <v>4.0999999999999996</v>
      </c>
      <c r="G187" s="85" t="s">
        <v>6</v>
      </c>
      <c r="H187" s="85" t="s">
        <v>102</v>
      </c>
    </row>
    <row r="188" spans="1:8" ht="13">
      <c r="A188" s="85" t="s">
        <v>1072</v>
      </c>
      <c r="B188" s="85" t="s">
        <v>7</v>
      </c>
      <c r="C188" s="85">
        <v>7</v>
      </c>
      <c r="D188" s="85" t="s">
        <v>1267</v>
      </c>
      <c r="E188" s="85" t="str">
        <f t="shared" si="0"/>
        <v>Networks::7::Explain the Internet Protocol in the internet layer</v>
      </c>
      <c r="F188" s="85">
        <v>4.0999999999999996</v>
      </c>
      <c r="G188" s="85" t="s">
        <v>6</v>
      </c>
      <c r="H188" s="85" t="s">
        <v>102</v>
      </c>
    </row>
    <row r="189" spans="1:8" ht="13">
      <c r="A189" s="85" t="s">
        <v>1072</v>
      </c>
      <c r="B189" s="85" t="s">
        <v>7</v>
      </c>
      <c r="C189" s="85">
        <v>7</v>
      </c>
      <c r="D189" s="85" t="s">
        <v>1268</v>
      </c>
      <c r="E189" s="85" t="str">
        <f t="shared" si="0"/>
        <v>Networks::7::List and explain standard internet protocols in the transport layer, such as TCP and UDP</v>
      </c>
      <c r="F189" s="85">
        <v>4.0999999999999996</v>
      </c>
      <c r="G189" s="85" t="s">
        <v>6</v>
      </c>
      <c r="H189" s="85" t="s">
        <v>102</v>
      </c>
    </row>
    <row r="190" spans="1:8" ht="13">
      <c r="A190" s="85" t="s">
        <v>1072</v>
      </c>
      <c r="B190" s="85" t="s">
        <v>7</v>
      </c>
      <c r="C190" s="85">
        <v>8</v>
      </c>
      <c r="D190" s="85" t="s">
        <v>1269</v>
      </c>
      <c r="E190" s="85" t="str">
        <f t="shared" si="0"/>
        <v>Networks::8::Describe how network data speeds are measured, and the factors affecting network performance</v>
      </c>
      <c r="F190" s="85">
        <v>4.0999999999999996</v>
      </c>
      <c r="G190" s="85" t="s">
        <v>6</v>
      </c>
      <c r="H190" s="85" t="s">
        <v>102</v>
      </c>
    </row>
    <row r="191" spans="1:8" ht="13">
      <c r="A191" s="85" t="s">
        <v>1072</v>
      </c>
      <c r="B191" s="85" t="s">
        <v>7</v>
      </c>
      <c r="C191" s="85">
        <v>8</v>
      </c>
      <c r="D191" s="85" t="s">
        <v>1270</v>
      </c>
      <c r="E191" s="85" t="str">
        <f t="shared" si="0"/>
        <v>Networks::8::Define what virtual networks are, and how they are used to maintain network performance</v>
      </c>
      <c r="F191" s="85">
        <v>4.0999999999999996</v>
      </c>
      <c r="G191" s="85" t="s">
        <v>6</v>
      </c>
      <c r="H191" s="85" t="s">
        <v>102</v>
      </c>
    </row>
    <row r="192" spans="1:8" ht="13">
      <c r="A192" s="85" t="s">
        <v>1072</v>
      </c>
      <c r="B192" s="85" t="s">
        <v>7</v>
      </c>
      <c r="C192" s="85">
        <v>8</v>
      </c>
      <c r="D192" s="85" t="s">
        <v>1271</v>
      </c>
      <c r="E192" s="85" t="str">
        <f t="shared" si="0"/>
        <v>Networks::8::Explain why networks are a target for criminals, and what some of the tools available to defend against attacks are</v>
      </c>
      <c r="F192" s="85">
        <v>4.0999999999999996</v>
      </c>
      <c r="G192" s="85" t="s">
        <v>353</v>
      </c>
      <c r="H192" s="85" t="s">
        <v>102</v>
      </c>
    </row>
    <row r="193" spans="1:8" ht="13">
      <c r="A193" s="85" t="s">
        <v>1072</v>
      </c>
      <c r="B193" s="85" t="s">
        <v>1272</v>
      </c>
      <c r="C193" s="85">
        <v>1</v>
      </c>
      <c r="D193" s="85" t="s">
        <v>1273</v>
      </c>
      <c r="E193" s="85" t="str">
        <f t="shared" si="0"/>
        <v>Physical computing project::1::Define the term physical computing</v>
      </c>
      <c r="G193" s="85" t="s">
        <v>14</v>
      </c>
      <c r="H193" s="85" t="s">
        <v>102</v>
      </c>
    </row>
    <row r="194" spans="1:8" ht="13">
      <c r="A194" s="85" t="s">
        <v>1072</v>
      </c>
      <c r="B194" s="85" t="s">
        <v>1272</v>
      </c>
      <c r="C194" s="85">
        <v>1</v>
      </c>
      <c r="D194" s="85" t="s">
        <v>1274</v>
      </c>
      <c r="E194" s="85" t="str">
        <f t="shared" si="0"/>
        <v>Physical computing project::1::Explain the term embedded systems</v>
      </c>
      <c r="G194" s="85" t="s">
        <v>14</v>
      </c>
      <c r="H194" s="85" t="s">
        <v>102</v>
      </c>
    </row>
    <row r="195" spans="1:8" ht="13">
      <c r="A195" s="85" t="s">
        <v>1072</v>
      </c>
      <c r="B195" s="85" t="s">
        <v>1272</v>
      </c>
      <c r="C195" s="85">
        <v>1</v>
      </c>
      <c r="D195" s="85" t="s">
        <v>1275</v>
      </c>
      <c r="E195" s="85" t="str">
        <f t="shared" si="0"/>
        <v>Physical computing project::1::Create and test a working circuit</v>
      </c>
      <c r="G195" s="85" t="s">
        <v>12</v>
      </c>
      <c r="H195" s="85" t="s">
        <v>102</v>
      </c>
    </row>
    <row r="196" spans="1:8" ht="13">
      <c r="A196" s="85" t="s">
        <v>1072</v>
      </c>
      <c r="B196" s="85" t="s">
        <v>1272</v>
      </c>
      <c r="C196" s="85">
        <v>2</v>
      </c>
      <c r="D196" s="85" t="s">
        <v>1276</v>
      </c>
      <c r="E196" s="85" t="str">
        <f t="shared" si="0"/>
        <v>Physical computing project::2::Explore how to add functionality using a motor controller</v>
      </c>
      <c r="G196" s="85" t="s">
        <v>1277</v>
      </c>
      <c r="H196" s="85" t="s">
        <v>102</v>
      </c>
    </row>
    <row r="197" spans="1:8" ht="13">
      <c r="A197" s="85" t="s">
        <v>1072</v>
      </c>
      <c r="B197" s="85" t="s">
        <v>1272</v>
      </c>
      <c r="C197" s="85">
        <v>2</v>
      </c>
      <c r="D197" s="85" t="s">
        <v>1278</v>
      </c>
      <c r="E197" s="85" t="str">
        <f t="shared" si="0"/>
        <v>Physical computing project::2::Interact with real-world objects using code and additional hardware</v>
      </c>
      <c r="G197" s="85" t="s">
        <v>1277</v>
      </c>
      <c r="H197" s="85" t="s">
        <v>102</v>
      </c>
    </row>
    <row r="198" spans="1:8" ht="13">
      <c r="A198" s="85" t="s">
        <v>1072</v>
      </c>
      <c r="B198" s="85" t="s">
        <v>1272</v>
      </c>
      <c r="C198" s="85">
        <v>3</v>
      </c>
      <c r="D198" s="85" t="s">
        <v>1279</v>
      </c>
      <c r="E198" s="85" t="str">
        <f t="shared" si="0"/>
        <v>Physical computing project::3::Use basic materials and tools to create a prototype</v>
      </c>
      <c r="G198" s="85" t="s">
        <v>12</v>
      </c>
      <c r="H198" s="85" t="s">
        <v>102</v>
      </c>
    </row>
    <row r="199" spans="1:8" ht="13">
      <c r="A199" s="85" t="s">
        <v>1072</v>
      </c>
      <c r="B199" s="85" t="s">
        <v>1272</v>
      </c>
      <c r="C199" s="85">
        <v>4</v>
      </c>
      <c r="D199" s="85" t="s">
        <v>1280</v>
      </c>
      <c r="E199" s="85" t="str">
        <f t="shared" si="0"/>
        <v>Physical computing project::4::Understand how ultrasonic sound waves work</v>
      </c>
      <c r="G199" s="85" t="s">
        <v>1281</v>
      </c>
      <c r="H199" s="85" t="s">
        <v>102</v>
      </c>
    </row>
    <row r="200" spans="1:8" ht="13">
      <c r="A200" s="85" t="s">
        <v>1072</v>
      </c>
      <c r="B200" s="85" t="s">
        <v>1272</v>
      </c>
      <c r="C200" s="85">
        <v>4</v>
      </c>
      <c r="D200" s="85" t="s">
        <v>1282</v>
      </c>
      <c r="E200" s="85" t="str">
        <f t="shared" si="0"/>
        <v>Physical computing project::4::Combine inputs and outputs to solve a problem</v>
      </c>
      <c r="G200" s="85" t="s">
        <v>1283</v>
      </c>
      <c r="H200" s="85" t="s">
        <v>102</v>
      </c>
    </row>
    <row r="201" spans="1:8" ht="13">
      <c r="A201" s="85" t="s">
        <v>1072</v>
      </c>
      <c r="B201" s="85" t="s">
        <v>1272</v>
      </c>
      <c r="C201" s="85">
        <v>5</v>
      </c>
      <c r="D201" s="85" t="s">
        <v>1284</v>
      </c>
      <c r="E201" s="85" t="str">
        <f t="shared" si="0"/>
        <v>Physical computing project::5::Understand how reflective optical sensors work</v>
      </c>
      <c r="G201" s="85" t="s">
        <v>1285</v>
      </c>
      <c r="H201" s="85" t="s">
        <v>102</v>
      </c>
    </row>
    <row r="202" spans="1:8" ht="13">
      <c r="A202" s="85" t="s">
        <v>1072</v>
      </c>
      <c r="B202" s="85" t="s">
        <v>1272</v>
      </c>
      <c r="C202" s="85">
        <v>5</v>
      </c>
      <c r="D202" s="85" t="s">
        <v>1286</v>
      </c>
      <c r="E202" s="85" t="str">
        <f t="shared" si="0"/>
        <v>Physical computing project::5::Process input data to monitor and react to the environment</v>
      </c>
      <c r="G202" s="85" t="s">
        <v>1287</v>
      </c>
      <c r="H202" s="85" t="s">
        <v>102</v>
      </c>
    </row>
    <row r="203" spans="1:8" ht="13">
      <c r="A203" s="85" t="s">
        <v>1072</v>
      </c>
      <c r="B203" s="85" t="s">
        <v>1272</v>
      </c>
      <c r="C203" s="85">
        <v>6</v>
      </c>
      <c r="D203" s="85" t="s">
        <v>1288</v>
      </c>
      <c r="E203" s="85" t="str">
        <f t="shared" si="0"/>
        <v>Physical computing project::6::Synchronise the behaviour of physical hardware components for a given situation</v>
      </c>
      <c r="G203" s="85" t="s">
        <v>1289</v>
      </c>
      <c r="H203" s="85" t="s">
        <v>102</v>
      </c>
    </row>
    <row r="204" spans="1:8" ht="13">
      <c r="A204" s="85" t="s">
        <v>1072</v>
      </c>
      <c r="B204" s="85" t="s">
        <v>1290</v>
      </c>
      <c r="C204" s="85">
        <v>1</v>
      </c>
      <c r="D204" s="85" t="s">
        <v>1291</v>
      </c>
      <c r="E204" s="85" t="str">
        <f t="shared" si="0"/>
        <v>Programming part 1 - Sequence::1::Compare how humans and computers interpret instructions</v>
      </c>
      <c r="F204" s="85" t="s">
        <v>960</v>
      </c>
      <c r="G204" s="85" t="s">
        <v>892</v>
      </c>
      <c r="H204" s="85" t="s">
        <v>102</v>
      </c>
    </row>
    <row r="205" spans="1:8" ht="13">
      <c r="A205" s="85" t="s">
        <v>1072</v>
      </c>
      <c r="B205" s="85" t="s">
        <v>1290</v>
      </c>
      <c r="C205" s="85">
        <v>1</v>
      </c>
      <c r="D205" s="85" t="s">
        <v>1292</v>
      </c>
      <c r="E205" s="85" t="str">
        <f t="shared" si="0"/>
        <v>Programming part 1 - Sequence::1::Explain the differences between high- and low-level programming languages</v>
      </c>
      <c r="F205" s="85" t="s">
        <v>960</v>
      </c>
      <c r="G205" s="85" t="s">
        <v>502</v>
      </c>
      <c r="H205" s="85" t="s">
        <v>102</v>
      </c>
    </row>
    <row r="206" spans="1:8" ht="13">
      <c r="A206" s="85" t="s">
        <v>1072</v>
      </c>
      <c r="B206" s="85" t="s">
        <v>1290</v>
      </c>
      <c r="C206" s="85">
        <v>1</v>
      </c>
      <c r="D206" s="85" t="s">
        <v>1293</v>
      </c>
      <c r="E206" s="85" t="str">
        <f t="shared" si="0"/>
        <v>Programming part 1 - Sequence::1::Describe why translators are necessary</v>
      </c>
      <c r="F206" s="85" t="s">
        <v>960</v>
      </c>
      <c r="G206" s="85" t="s">
        <v>502</v>
      </c>
      <c r="H206" s="85" t="s">
        <v>102</v>
      </c>
    </row>
    <row r="207" spans="1:8" ht="13">
      <c r="A207" s="85" t="s">
        <v>1072</v>
      </c>
      <c r="B207" s="85" t="s">
        <v>1290</v>
      </c>
      <c r="C207" s="85">
        <v>1</v>
      </c>
      <c r="D207" s="85" t="s">
        <v>1294</v>
      </c>
      <c r="E207" s="85" t="str">
        <f t="shared" si="0"/>
        <v>Programming part 1 - Sequence::1::List the differences, benefits and drawbacks of using a compiler or an interpreter</v>
      </c>
      <c r="F207" s="85" t="s">
        <v>960</v>
      </c>
      <c r="G207" s="85" t="s">
        <v>502</v>
      </c>
      <c r="H207" s="85" t="s">
        <v>102</v>
      </c>
    </row>
    <row r="208" spans="1:8" ht="13">
      <c r="A208" s="85" t="s">
        <v>1072</v>
      </c>
      <c r="B208" s="85" t="s">
        <v>1290</v>
      </c>
      <c r="C208" s="85">
        <v>2</v>
      </c>
      <c r="D208" s="85" t="s">
        <v>1295</v>
      </c>
      <c r="E208" s="85" t="str">
        <f t="shared" si="0"/>
        <v>Programming part 1 - Sequence::2::Use subroutines in programs</v>
      </c>
      <c r="F208" s="85" t="s">
        <v>960</v>
      </c>
      <c r="G208" s="85" t="s">
        <v>240</v>
      </c>
      <c r="H208" s="85" t="s">
        <v>102</v>
      </c>
    </row>
    <row r="209" spans="1:8" ht="13">
      <c r="A209" s="85" t="s">
        <v>1072</v>
      </c>
      <c r="B209" s="85" t="s">
        <v>1290</v>
      </c>
      <c r="C209" s="85">
        <v>2</v>
      </c>
      <c r="D209" s="85" t="s">
        <v>1296</v>
      </c>
      <c r="E209" s="85" t="str">
        <f t="shared" si="0"/>
        <v>Programming part 1 - Sequence::2::Define a sequence as instructions performed in order, with each executed in turn</v>
      </c>
      <c r="F209" s="85" t="s">
        <v>960</v>
      </c>
      <c r="G209" s="85" t="s">
        <v>240</v>
      </c>
      <c r="H209" s="85" t="s">
        <v>102</v>
      </c>
    </row>
    <row r="210" spans="1:8" ht="13">
      <c r="A210" s="85" t="s">
        <v>1072</v>
      </c>
      <c r="B210" s="85" t="s">
        <v>1290</v>
      </c>
      <c r="C210" s="85">
        <v>2</v>
      </c>
      <c r="D210" s="85" t="s">
        <v>1297</v>
      </c>
      <c r="E210" s="85" t="str">
        <f t="shared" si="0"/>
        <v>Programming part 1 - Sequence::2::Predict the outcome of a sequence and modify it</v>
      </c>
      <c r="F210" s="85" t="s">
        <v>960</v>
      </c>
      <c r="G210" s="85" t="s">
        <v>240</v>
      </c>
      <c r="H210" s="85" t="s">
        <v>102</v>
      </c>
    </row>
    <row r="211" spans="1:8" ht="13">
      <c r="A211" s="85" t="s">
        <v>1072</v>
      </c>
      <c r="B211" s="85" t="s">
        <v>1290</v>
      </c>
      <c r="C211" s="85">
        <v>2</v>
      </c>
      <c r="D211" s="85" t="s">
        <v>1298</v>
      </c>
      <c r="E211" s="85" t="str">
        <f t="shared" si="0"/>
        <v>Programming part 1 - Sequence::2::Interpret error messages and define error types and identify them in programs (logic, syntax)</v>
      </c>
      <c r="F211" s="85" t="s">
        <v>960</v>
      </c>
      <c r="G211" s="85" t="s">
        <v>240</v>
      </c>
      <c r="H211" s="85" t="s">
        <v>102</v>
      </c>
    </row>
    <row r="212" spans="1:8" ht="13">
      <c r="A212" s="85" t="s">
        <v>1072</v>
      </c>
      <c r="B212" s="85" t="s">
        <v>1290</v>
      </c>
      <c r="C212" s="85">
        <v>2</v>
      </c>
      <c r="D212" s="85" t="s">
        <v>1299</v>
      </c>
      <c r="E212" s="85" t="str">
        <f t="shared" si="0"/>
        <v>Programming part 1 - Sequence::2::Describe the tools an IDE provides (editors, error diagnostics, run-time environment, translators)</v>
      </c>
      <c r="F212" s="85" t="s">
        <v>960</v>
      </c>
      <c r="G212" s="85" t="s">
        <v>324</v>
      </c>
      <c r="H212" s="85" t="s">
        <v>102</v>
      </c>
    </row>
    <row r="213" spans="1:8" ht="13">
      <c r="A213" s="85" t="s">
        <v>1072</v>
      </c>
      <c r="B213" s="85" t="s">
        <v>1290</v>
      </c>
      <c r="C213" s="85">
        <v>3</v>
      </c>
      <c r="D213" s="85" t="s">
        <v>1300</v>
      </c>
      <c r="E213" s="85" t="str">
        <f t="shared" si="0"/>
        <v>Programming part 1 - Sequence::3::Use meaningful identifiers</v>
      </c>
      <c r="F213" s="85" t="s">
        <v>960</v>
      </c>
      <c r="G213" s="85" t="s">
        <v>20</v>
      </c>
      <c r="H213" s="85" t="s">
        <v>102</v>
      </c>
    </row>
    <row r="214" spans="1:8" ht="13">
      <c r="A214" s="85" t="s">
        <v>1072</v>
      </c>
      <c r="B214" s="85" t="s">
        <v>1290</v>
      </c>
      <c r="C214" s="85">
        <v>3</v>
      </c>
      <c r="D214" s="85" t="s">
        <v>1301</v>
      </c>
      <c r="E214" s="85" t="str">
        <f t="shared" si="0"/>
        <v>Programming part 1 - Sequence::3::Determine the need for variables</v>
      </c>
      <c r="F214" s="85" t="s">
        <v>960</v>
      </c>
      <c r="G214" s="85" t="s">
        <v>240</v>
      </c>
      <c r="H214" s="85" t="s">
        <v>102</v>
      </c>
    </row>
    <row r="215" spans="1:8" ht="13">
      <c r="A215" s="85" t="s">
        <v>1072</v>
      </c>
      <c r="B215" s="85" t="s">
        <v>1290</v>
      </c>
      <c r="C215" s="85">
        <v>3</v>
      </c>
      <c r="D215" s="85" t="s">
        <v>1302</v>
      </c>
      <c r="E215" s="85" t="str">
        <f t="shared" si="0"/>
        <v>Programming part 1 - Sequence::3::Distinguish between declaration, initialisation and assignment of variables</v>
      </c>
      <c r="F215" s="85" t="s">
        <v>960</v>
      </c>
      <c r="G215" s="85" t="s">
        <v>20</v>
      </c>
      <c r="H215" s="85" t="s">
        <v>102</v>
      </c>
    </row>
    <row r="216" spans="1:8" ht="13">
      <c r="A216" s="85" t="s">
        <v>1072</v>
      </c>
      <c r="B216" s="85" t="s">
        <v>1290</v>
      </c>
      <c r="C216" s="85">
        <v>3</v>
      </c>
      <c r="D216" s="85" t="s">
        <v>1303</v>
      </c>
      <c r="E216" s="85" t="str">
        <f t="shared" si="0"/>
        <v>Programming part 1 - Sequence::3::Demonstrate appropriate use of naming conventions</v>
      </c>
      <c r="F216" s="85" t="s">
        <v>960</v>
      </c>
      <c r="G216" s="85" t="s">
        <v>20</v>
      </c>
      <c r="H216" s="85" t="s">
        <v>102</v>
      </c>
    </row>
    <row r="217" spans="1:8" ht="13">
      <c r="A217" s="85" t="s">
        <v>1072</v>
      </c>
      <c r="B217" s="85" t="s">
        <v>1290</v>
      </c>
      <c r="C217" s="85">
        <v>3</v>
      </c>
      <c r="D217" s="85" t="s">
        <v>1304</v>
      </c>
      <c r="E217" s="85" t="str">
        <f t="shared" si="0"/>
        <v>Programming part 1 - Sequence::3::Output data (e.g. print (my_var))</v>
      </c>
      <c r="F217" s="85" t="s">
        <v>960</v>
      </c>
      <c r="G217" s="85" t="s">
        <v>20</v>
      </c>
      <c r="H217" s="85" t="s">
        <v>102</v>
      </c>
    </row>
    <row r="218" spans="1:8" ht="13">
      <c r="A218" s="85" t="s">
        <v>1072</v>
      </c>
      <c r="B218" s="85" t="s">
        <v>1290</v>
      </c>
      <c r="C218" s="85">
        <v>4</v>
      </c>
      <c r="D218" s="85" t="s">
        <v>1305</v>
      </c>
      <c r="E218" s="85" t="str">
        <f t="shared" si="0"/>
        <v>Programming part 1 - Sequence::4::Obtain input from the keyboard in a program</v>
      </c>
      <c r="F218" s="85" t="s">
        <v>960</v>
      </c>
      <c r="G218" s="85" t="s">
        <v>20</v>
      </c>
      <c r="H218" s="85" t="s">
        <v>102</v>
      </c>
    </row>
    <row r="219" spans="1:8" ht="13">
      <c r="A219" s="85" t="s">
        <v>1072</v>
      </c>
      <c r="B219" s="85" t="s">
        <v>1290</v>
      </c>
      <c r="C219" s="85">
        <v>4</v>
      </c>
      <c r="D219" s="85" t="s">
        <v>1306</v>
      </c>
      <c r="E219" s="85" t="str">
        <f t="shared" si="0"/>
        <v>Programming part 1 - Sequence::4::Differentiate between the data types; integer, real, Boolean, character, string</v>
      </c>
      <c r="F219" s="85" t="s">
        <v>960</v>
      </c>
      <c r="G219" s="85" t="s">
        <v>911</v>
      </c>
      <c r="H219" s="85" t="s">
        <v>102</v>
      </c>
    </row>
    <row r="220" spans="1:8" ht="13">
      <c r="A220" s="85" t="s">
        <v>1072</v>
      </c>
      <c r="B220" s="85" t="s">
        <v>1290</v>
      </c>
      <c r="C220" s="85">
        <v>4</v>
      </c>
      <c r="D220" s="85" t="s">
        <v>1307</v>
      </c>
      <c r="E220" s="85" t="str">
        <f t="shared" si="0"/>
        <v>Programming part 1 - Sequence::4::Cast variables by calling a function that will return a new value of the desired data type</v>
      </c>
      <c r="F220" s="85" t="s">
        <v>960</v>
      </c>
      <c r="G220" s="85" t="s">
        <v>911</v>
      </c>
      <c r="H220" s="85" t="s">
        <v>102</v>
      </c>
    </row>
    <row r="221" spans="1:8" ht="13">
      <c r="A221" s="85" t="s">
        <v>1072</v>
      </c>
      <c r="B221" s="85" t="s">
        <v>1290</v>
      </c>
      <c r="C221" s="85">
        <v>4</v>
      </c>
      <c r="D221" s="85" t="s">
        <v>1308</v>
      </c>
      <c r="E221" s="85" t="str">
        <f t="shared" si="0"/>
        <v>Programming part 1 - Sequence::4::Define runtime errors in programs</v>
      </c>
      <c r="F221" s="85" t="s">
        <v>960</v>
      </c>
      <c r="G221" s="85" t="s">
        <v>240</v>
      </c>
      <c r="H221" s="85" t="s">
        <v>102</v>
      </c>
    </row>
    <row r="222" spans="1:8" ht="13">
      <c r="A222" s="85" t="s">
        <v>1072</v>
      </c>
      <c r="B222" s="85" t="s">
        <v>1290</v>
      </c>
      <c r="C222" s="85">
        <v>4</v>
      </c>
      <c r="D222" s="85" t="s">
        <v>1309</v>
      </c>
      <c r="E222" s="85" t="str">
        <f t="shared" si="0"/>
        <v>Programming part 1 - Sequence::4::Define validation checks</v>
      </c>
      <c r="F222" s="85" t="s">
        <v>960</v>
      </c>
      <c r="G222" s="85" t="s">
        <v>240</v>
      </c>
      <c r="H222" s="85" t="s">
        <v>102</v>
      </c>
    </row>
    <row r="223" spans="1:8" ht="13">
      <c r="A223" s="85" t="s">
        <v>1072</v>
      </c>
      <c r="B223" s="85" t="s">
        <v>1290</v>
      </c>
      <c r="C223" s="85">
        <v>5</v>
      </c>
      <c r="D223" s="85" t="s">
        <v>1310</v>
      </c>
      <c r="E223" s="85" t="str">
        <f t="shared" si="0"/>
        <v>Programming part 1 - Sequence::5::Identify flowchart symbols and describe how to use them (start, end, input, output, subroutine)</v>
      </c>
      <c r="F223" s="85" t="s">
        <v>960</v>
      </c>
      <c r="G223" s="85" t="s">
        <v>240</v>
      </c>
      <c r="H223" s="85" t="s">
        <v>102</v>
      </c>
    </row>
    <row r="224" spans="1:8" ht="13">
      <c r="A224" s="85" t="s">
        <v>1072</v>
      </c>
      <c r="B224" s="85" t="s">
        <v>1290</v>
      </c>
      <c r="C224" s="85">
        <v>5</v>
      </c>
      <c r="D224" s="85" t="s">
        <v>1311</v>
      </c>
      <c r="E224" s="85" t="str">
        <f t="shared" si="0"/>
        <v>Programming part 1 - Sequence::5::Translate a flowchart into a program sequence</v>
      </c>
      <c r="F224" s="85" t="s">
        <v>960</v>
      </c>
      <c r="G224" s="85" t="s">
        <v>240</v>
      </c>
      <c r="H224" s="85" t="s">
        <v>102</v>
      </c>
    </row>
    <row r="225" spans="1:8" ht="13">
      <c r="A225" s="85" t="s">
        <v>1072</v>
      </c>
      <c r="B225" s="85" t="s">
        <v>1290</v>
      </c>
      <c r="C225" s="85">
        <v>5</v>
      </c>
      <c r="D225" s="85" t="s">
        <v>1312</v>
      </c>
      <c r="E225" s="85" t="str">
        <f t="shared" si="0"/>
        <v>Programming part 1 - Sequence::5::Design a flowchart for a program</v>
      </c>
      <c r="F225" s="85" t="s">
        <v>960</v>
      </c>
      <c r="G225" s="85" t="s">
        <v>172</v>
      </c>
      <c r="H225" s="85" t="s">
        <v>102</v>
      </c>
    </row>
    <row r="226" spans="1:8" ht="13">
      <c r="A226" s="85" t="s">
        <v>1072</v>
      </c>
      <c r="B226" s="85" t="s">
        <v>1313</v>
      </c>
      <c r="C226" s="85">
        <v>6</v>
      </c>
      <c r="D226" s="85" t="s">
        <v>1314</v>
      </c>
      <c r="E226" s="85" t="str">
        <f t="shared" si="0"/>
        <v>Programming part 2 - Selection::6::Be able to locate information using the language documentation</v>
      </c>
      <c r="F226" s="85" t="s">
        <v>960</v>
      </c>
      <c r="G226" s="85" t="s">
        <v>324</v>
      </c>
      <c r="H226" s="85" t="s">
        <v>102</v>
      </c>
    </row>
    <row r="227" spans="1:8" ht="13">
      <c r="A227" s="85" t="s">
        <v>1072</v>
      </c>
      <c r="B227" s="85" t="s">
        <v>1313</v>
      </c>
      <c r="C227" s="85">
        <v>6</v>
      </c>
      <c r="D227" s="85" t="s">
        <v>1315</v>
      </c>
      <c r="E227" s="85" t="str">
        <f t="shared" si="0"/>
        <v>Programming part 2 - Selection::6::Import modules into your code</v>
      </c>
      <c r="F227" s="85" t="s">
        <v>960</v>
      </c>
      <c r="G227" s="85" t="s">
        <v>20</v>
      </c>
      <c r="H227" s="85" t="s">
        <v>102</v>
      </c>
    </row>
    <row r="228" spans="1:8" ht="13">
      <c r="A228" s="85" t="s">
        <v>1072</v>
      </c>
      <c r="B228" s="85" t="s">
        <v>1313</v>
      </c>
      <c r="C228" s="85">
        <v>6</v>
      </c>
      <c r="D228" s="85" t="s">
        <v>1316</v>
      </c>
      <c r="E228" s="85" t="str">
        <f t="shared" si="0"/>
        <v>Programming part 2 - Selection::6::Demonstrate how to generate random numbers</v>
      </c>
      <c r="F228" s="85" t="s">
        <v>960</v>
      </c>
      <c r="G228" s="85" t="s">
        <v>20</v>
      </c>
      <c r="H228" s="85" t="s">
        <v>102</v>
      </c>
    </row>
    <row r="229" spans="1:8" ht="13">
      <c r="A229" s="85" t="s">
        <v>1072</v>
      </c>
      <c r="B229" s="85" t="s">
        <v>1313</v>
      </c>
      <c r="C229" s="85">
        <v>7</v>
      </c>
      <c r="D229" s="85" t="s">
        <v>1317</v>
      </c>
      <c r="E229" s="85" t="str">
        <f t="shared" si="0"/>
        <v>Programming part 2 - Selection::7::Evaluate arithmetic expressions using rules of operator precedence (BIDMAS)</v>
      </c>
      <c r="F229" s="85" t="s">
        <v>960</v>
      </c>
      <c r="G229" s="85" t="s">
        <v>20</v>
      </c>
      <c r="H229" s="85" t="s">
        <v>102</v>
      </c>
    </row>
    <row r="230" spans="1:8" ht="13">
      <c r="A230" s="85" t="s">
        <v>1072</v>
      </c>
      <c r="B230" s="85" t="s">
        <v>1313</v>
      </c>
      <c r="C230" s="85">
        <v>7</v>
      </c>
      <c r="D230" s="85" t="s">
        <v>1318</v>
      </c>
      <c r="E230" s="85" t="str">
        <f t="shared" si="0"/>
        <v>Programming part 2 - Selection::7::Write and use expressions that use arithmetic operators (add, subtract, multiply, real division, integer division, MOD, to the power)</v>
      </c>
      <c r="F230" s="85" t="s">
        <v>960</v>
      </c>
      <c r="G230" s="85" t="s">
        <v>20</v>
      </c>
      <c r="H230" s="85" t="s">
        <v>102</v>
      </c>
    </row>
    <row r="231" spans="1:8" ht="13">
      <c r="A231" s="85" t="s">
        <v>1072</v>
      </c>
      <c r="B231" s="85" t="s">
        <v>1313</v>
      </c>
      <c r="C231" s="85">
        <v>7</v>
      </c>
      <c r="D231" s="85" t="s">
        <v>1319</v>
      </c>
      <c r="E231" s="85" t="str">
        <f t="shared" si="0"/>
        <v>Programming part 2 - Selection::7::Assign expressions to variables</v>
      </c>
      <c r="F231" s="85" t="s">
        <v>960</v>
      </c>
      <c r="G231" s="85" t="s">
        <v>20</v>
      </c>
      <c r="H231" s="85" t="s">
        <v>102</v>
      </c>
    </row>
    <row r="232" spans="1:8" ht="13">
      <c r="A232" s="85" t="s">
        <v>1072</v>
      </c>
      <c r="B232" s="85" t="s">
        <v>1313</v>
      </c>
      <c r="C232" s="85">
        <v>8</v>
      </c>
      <c r="D232" s="85" t="s">
        <v>1320</v>
      </c>
      <c r="E232" s="85" t="str">
        <f t="shared" si="0"/>
        <v xml:space="preserve">Programming part 2 - Selection::8::Define a condition as an expression that can be evaluated to either True or </v>
      </c>
      <c r="F232" s="85" t="s">
        <v>960</v>
      </c>
      <c r="G232" s="85" t="s">
        <v>20</v>
      </c>
      <c r="H232" s="85" t="s">
        <v>102</v>
      </c>
    </row>
    <row r="233" spans="1:8" ht="13">
      <c r="A233" s="85" t="s">
        <v>1072</v>
      </c>
      <c r="B233" s="85" t="s">
        <v>1313</v>
      </c>
      <c r="C233" s="85">
        <v>8</v>
      </c>
      <c r="D233" s="85" t="s">
        <v>1321</v>
      </c>
      <c r="E233" s="85" t="str">
        <f t="shared" si="0"/>
        <v>Programming part 2 - Selection::8::Identify flowchart symbols and describe how to use them (decision)</v>
      </c>
      <c r="F233" s="85" t="s">
        <v>960</v>
      </c>
      <c r="G233" s="85" t="s">
        <v>240</v>
      </c>
      <c r="H233" s="85" t="s">
        <v>102</v>
      </c>
    </row>
    <row r="234" spans="1:8" ht="13">
      <c r="A234" s="85" t="s">
        <v>1072</v>
      </c>
      <c r="B234" s="85" t="s">
        <v>1313</v>
      </c>
      <c r="C234" s="85">
        <v>8</v>
      </c>
      <c r="D234" s="85" t="s">
        <v>1322</v>
      </c>
      <c r="E234" s="85" t="str">
        <f t="shared" si="0"/>
        <v>Programming part 2 - Selection::8::Identify that selection uses conditions to control the flow of execution</v>
      </c>
      <c r="F234" s="85" t="s">
        <v>960</v>
      </c>
      <c r="G234" s="85" t="s">
        <v>240</v>
      </c>
      <c r="H234" s="85" t="s">
        <v>102</v>
      </c>
    </row>
    <row r="235" spans="1:8" ht="13">
      <c r="A235" s="85" t="s">
        <v>1072</v>
      </c>
      <c r="B235" s="85" t="s">
        <v>1313</v>
      </c>
      <c r="C235" s="85">
        <v>8</v>
      </c>
      <c r="D235" s="85" t="s">
        <v>1323</v>
      </c>
      <c r="E235" s="85" t="str">
        <f t="shared" si="0"/>
        <v>Programming part 2 - Selection::8::Walkthrough code that includes selection (if, elif, else)</v>
      </c>
      <c r="F235" s="85" t="s">
        <v>960</v>
      </c>
      <c r="G235" s="85" t="s">
        <v>240</v>
      </c>
      <c r="H235" s="85" t="s">
        <v>102</v>
      </c>
    </row>
    <row r="236" spans="1:8" ht="13">
      <c r="A236" s="85" t="s">
        <v>1072</v>
      </c>
      <c r="B236" s="85" t="s">
        <v>1313</v>
      </c>
      <c r="C236" s="85">
        <v>9</v>
      </c>
      <c r="D236" s="85" t="s">
        <v>1324</v>
      </c>
      <c r="E236" s="85" t="str">
        <f t="shared" si="0"/>
        <v>Programming part 2 - Selection::9::Use selection statements in a program</v>
      </c>
      <c r="F236" s="85" t="s">
        <v>960</v>
      </c>
      <c r="G236" s="85" t="s">
        <v>20</v>
      </c>
      <c r="H236" s="85" t="s">
        <v>102</v>
      </c>
    </row>
    <row r="237" spans="1:8" ht="13">
      <c r="A237" s="85" t="s">
        <v>1072</v>
      </c>
      <c r="B237" s="85" t="s">
        <v>1313</v>
      </c>
      <c r="C237" s="85">
        <v>9</v>
      </c>
      <c r="D237" s="85" t="s">
        <v>1325</v>
      </c>
      <c r="E237" s="85" t="str">
        <f t="shared" si="0"/>
        <v>Programming part 2 - Selection::9::Identify when selection statements should be used in programs</v>
      </c>
      <c r="F237" s="85" t="s">
        <v>960</v>
      </c>
      <c r="G237" s="85" t="s">
        <v>240</v>
      </c>
      <c r="H237" s="85" t="s">
        <v>102</v>
      </c>
    </row>
    <row r="238" spans="1:8" ht="13">
      <c r="A238" s="85" t="s">
        <v>1072</v>
      </c>
      <c r="B238" s="85" t="s">
        <v>1313</v>
      </c>
      <c r="C238" s="85">
        <v>9</v>
      </c>
      <c r="D238" s="85" t="s">
        <v>1326</v>
      </c>
      <c r="E238" s="85" t="str">
        <f t="shared" si="0"/>
        <v>Programming part 2 - Selection::9::Write and use expressions that use comparison operators (equal to, not equal to, less than, greater than, less than or equal to, greater than or equal to)</v>
      </c>
      <c r="F238" s="85" t="s">
        <v>960</v>
      </c>
      <c r="G238" s="85" t="s">
        <v>20</v>
      </c>
      <c r="H238" s="85" t="s">
        <v>102</v>
      </c>
    </row>
    <row r="239" spans="1:8" ht="13">
      <c r="A239" s="85" t="s">
        <v>1072</v>
      </c>
      <c r="B239" s="85" t="s">
        <v>1313</v>
      </c>
      <c r="C239" s="85">
        <v>10</v>
      </c>
      <c r="D239" s="85" t="s">
        <v>1327</v>
      </c>
      <c r="E239" s="85" t="str">
        <f t="shared" si="0"/>
        <v>Programming part 2 - Selection::10::Describe how Boolean/logical operators can be used in expressions</v>
      </c>
      <c r="F239" s="85" t="s">
        <v>960</v>
      </c>
      <c r="G239" s="85" t="s">
        <v>20</v>
      </c>
      <c r="H239" s="85" t="s">
        <v>102</v>
      </c>
    </row>
    <row r="240" spans="1:8" ht="13">
      <c r="A240" s="85" t="s">
        <v>1072</v>
      </c>
      <c r="B240" s="85" t="s">
        <v>1313</v>
      </c>
      <c r="C240" s="85">
        <v>10</v>
      </c>
      <c r="D240" s="85" t="s">
        <v>1328</v>
      </c>
      <c r="E240" s="85" t="str">
        <f t="shared" si="0"/>
        <v>Programming part 2 - Selection::10::Walkthrough code that use conditions with Boolean/logical operators (AND, OR)</v>
      </c>
      <c r="F240" s="85" t="s">
        <v>960</v>
      </c>
      <c r="G240" s="85" t="s">
        <v>240</v>
      </c>
      <c r="H240" s="85" t="s">
        <v>102</v>
      </c>
    </row>
    <row r="241" spans="1:8" ht="13">
      <c r="A241" s="85" t="s">
        <v>1072</v>
      </c>
      <c r="B241" s="85" t="s">
        <v>1313</v>
      </c>
      <c r="C241" s="85">
        <v>10</v>
      </c>
      <c r="D241" s="85" t="s">
        <v>1329</v>
      </c>
      <c r="E241" s="85" t="str">
        <f t="shared" si="0"/>
        <v>Programming part 2 - Selection::10::Write and use expressions that use Boolean/logical operators (AND, OR)</v>
      </c>
      <c r="F241" s="85" t="s">
        <v>960</v>
      </c>
      <c r="G241" s="85" t="s">
        <v>20</v>
      </c>
      <c r="H241" s="85" t="s">
        <v>102</v>
      </c>
    </row>
    <row r="242" spans="1:8" ht="13">
      <c r="A242" s="85" t="s">
        <v>1072</v>
      </c>
      <c r="B242" s="85" t="s">
        <v>1313</v>
      </c>
      <c r="C242" s="85">
        <v>11</v>
      </c>
      <c r="D242" s="85" t="s">
        <v>1330</v>
      </c>
      <c r="E242" s="85" t="str">
        <f t="shared" si="0"/>
        <v>Programming part 2 - Selection::11::Define nested selection</v>
      </c>
      <c r="F242" s="85" t="s">
        <v>960</v>
      </c>
      <c r="G242" s="85" t="s">
        <v>20</v>
      </c>
      <c r="H242" s="85" t="s">
        <v>102</v>
      </c>
    </row>
    <row r="243" spans="1:8" ht="13">
      <c r="A243" s="85" t="s">
        <v>1072</v>
      </c>
      <c r="B243" s="85" t="s">
        <v>1313</v>
      </c>
      <c r="C243" s="85">
        <v>11</v>
      </c>
      <c r="D243" s="85" t="s">
        <v>1331</v>
      </c>
      <c r="E243" s="85" t="str">
        <f t="shared" si="0"/>
        <v>Programming part 2 - Selection::11::Walk through code that uses nested selection</v>
      </c>
      <c r="F243" s="85" t="s">
        <v>960</v>
      </c>
      <c r="G243" s="85" t="s">
        <v>240</v>
      </c>
      <c r="H243" s="85" t="s">
        <v>102</v>
      </c>
    </row>
    <row r="244" spans="1:8" ht="13">
      <c r="A244" s="85" t="s">
        <v>1072</v>
      </c>
      <c r="B244" s="85" t="s">
        <v>1313</v>
      </c>
      <c r="C244" s="85">
        <v>11</v>
      </c>
      <c r="D244" s="85" t="s">
        <v>1332</v>
      </c>
      <c r="E244" s="85" t="str">
        <f t="shared" si="0"/>
        <v>Programming part 2 - Selection::11::Modify a program that uses nested selection</v>
      </c>
      <c r="F244" s="85" t="s">
        <v>960</v>
      </c>
      <c r="G244" s="85" t="s">
        <v>20</v>
      </c>
      <c r="H244" s="85" t="s">
        <v>102</v>
      </c>
    </row>
    <row r="245" spans="1:8" ht="13">
      <c r="A245" s="85" t="s">
        <v>1072</v>
      </c>
      <c r="B245" s="85" t="s">
        <v>1333</v>
      </c>
      <c r="C245" s="85">
        <v>12</v>
      </c>
      <c r="D245" s="85" t="s">
        <v>1334</v>
      </c>
      <c r="E245" s="85" t="str">
        <f t="shared" si="0"/>
        <v>Programming part 3 - Iteration::12::Define iteration as a group of instructions that are repeatedly executed</v>
      </c>
      <c r="F245" s="85" t="s">
        <v>960</v>
      </c>
      <c r="G245" s="85" t="s">
        <v>240</v>
      </c>
      <c r="H245" s="85" t="s">
        <v>102</v>
      </c>
    </row>
    <row r="246" spans="1:8" ht="13">
      <c r="A246" s="85" t="s">
        <v>1072</v>
      </c>
      <c r="B246" s="85" t="s">
        <v>1333</v>
      </c>
      <c r="C246" s="85">
        <v>12</v>
      </c>
      <c r="D246" s="85" t="s">
        <v>1335</v>
      </c>
      <c r="E246" s="85" t="str">
        <f t="shared" si="0"/>
        <v>Programming part 3 - Iteration::12::Modify a program to incorporate a while loop</v>
      </c>
      <c r="F246" s="85" t="s">
        <v>960</v>
      </c>
      <c r="G246" s="85" t="s">
        <v>20</v>
      </c>
      <c r="H246" s="85" t="s">
        <v>102</v>
      </c>
    </row>
    <row r="247" spans="1:8" ht="13">
      <c r="A247" s="85" t="s">
        <v>1072</v>
      </c>
      <c r="B247" s="85" t="s">
        <v>1333</v>
      </c>
      <c r="C247" s="85">
        <v>13</v>
      </c>
      <c r="D247" s="85" t="s">
        <v>1336</v>
      </c>
      <c r="E247" s="85" t="str">
        <f t="shared" si="0"/>
        <v>Programming part 3 - Iteration::13::Use a trace table to walkthrough code that uses a while loop</v>
      </c>
      <c r="F247" s="85" t="s">
        <v>960</v>
      </c>
      <c r="G247" s="85" t="s">
        <v>240</v>
      </c>
      <c r="H247" s="85" t="s">
        <v>102</v>
      </c>
    </row>
    <row r="248" spans="1:8" ht="13">
      <c r="A248" s="85" t="s">
        <v>1072</v>
      </c>
      <c r="B248" s="85" t="s">
        <v>1333</v>
      </c>
      <c r="C248" s="85">
        <v>13</v>
      </c>
      <c r="D248" s="85" t="s">
        <v>1337</v>
      </c>
      <c r="E248" s="85" t="str">
        <f t="shared" si="0"/>
        <v>Programming part 3 - Iteration::13::Use a trace table to detect and correct errors in programs</v>
      </c>
      <c r="F248" s="85" t="s">
        <v>960</v>
      </c>
      <c r="G248" s="85" t="s">
        <v>240</v>
      </c>
      <c r="H248" s="85" t="s">
        <v>102</v>
      </c>
    </row>
    <row r="249" spans="1:8" ht="13">
      <c r="A249" s="85" t="s">
        <v>1072</v>
      </c>
      <c r="B249" s="85" t="s">
        <v>1333</v>
      </c>
      <c r="C249" s="85">
        <v>14</v>
      </c>
      <c r="D249" s="85" t="s">
        <v>1338</v>
      </c>
      <c r="E249" s="85" t="str">
        <f t="shared" si="0"/>
        <v>Programming part 3 - Iteration::14::Define a for loop</v>
      </c>
      <c r="F249" s="85" t="s">
        <v>960</v>
      </c>
      <c r="G249" s="85" t="s">
        <v>20</v>
      </c>
      <c r="H249" s="85" t="s">
        <v>102</v>
      </c>
    </row>
    <row r="250" spans="1:8" ht="13">
      <c r="A250" s="85" t="s">
        <v>1072</v>
      </c>
      <c r="B250" s="85" t="s">
        <v>1333</v>
      </c>
      <c r="C250" s="85">
        <v>14</v>
      </c>
      <c r="D250" s="85" t="s">
        <v>1339</v>
      </c>
      <c r="E250" s="85" t="str">
        <f t="shared" si="0"/>
        <v>Programming part 3 - Iteration::14::Walk through code that uses a for loop</v>
      </c>
      <c r="F250" s="85" t="s">
        <v>960</v>
      </c>
      <c r="G250" s="85" t="s">
        <v>240</v>
      </c>
      <c r="H250" s="85" t="s">
        <v>102</v>
      </c>
    </row>
    <row r="251" spans="1:8" ht="13">
      <c r="A251" s="85" t="s">
        <v>1072</v>
      </c>
      <c r="B251" s="85" t="s">
        <v>1333</v>
      </c>
      <c r="C251" s="85">
        <v>14</v>
      </c>
      <c r="D251" s="85" t="s">
        <v>1340</v>
      </c>
      <c r="E251" s="85" t="str">
        <f t="shared" si="0"/>
        <v>Programming part 3 - Iteration::14::Modify a program that uses a for loop</v>
      </c>
      <c r="F251" s="85" t="s">
        <v>960</v>
      </c>
      <c r="G251" s="85" t="s">
        <v>20</v>
      </c>
      <c r="H251" s="85" t="s">
        <v>102</v>
      </c>
    </row>
    <row r="252" spans="1:8" ht="13">
      <c r="A252" s="85" t="s">
        <v>1072</v>
      </c>
      <c r="B252" s="85" t="s">
        <v>1333</v>
      </c>
      <c r="C252" s="85">
        <v>14</v>
      </c>
      <c r="D252" s="85" t="s">
        <v>1341</v>
      </c>
      <c r="E252" s="85" t="str">
        <f t="shared" si="0"/>
        <v>Programming part 3 - Iteration::14::Compare a while loop and a for loop</v>
      </c>
      <c r="F252" s="85" t="s">
        <v>960</v>
      </c>
      <c r="G252" s="85" t="s">
        <v>172</v>
      </c>
      <c r="H252" s="85" t="s">
        <v>102</v>
      </c>
    </row>
    <row r="253" spans="1:8" ht="13">
      <c r="A253" s="85" t="s">
        <v>1072</v>
      </c>
      <c r="B253" s="85" t="s">
        <v>1333</v>
      </c>
      <c r="C253" s="85">
        <v>15</v>
      </c>
      <c r="D253" s="85" t="s">
        <v>1342</v>
      </c>
      <c r="E253" s="85" t="str">
        <f t="shared" si="0"/>
        <v>Programming part 3 - Iteration::15::Determine the need for validation checks</v>
      </c>
      <c r="F253" s="85" t="s">
        <v>960</v>
      </c>
      <c r="G253" s="85" t="s">
        <v>240</v>
      </c>
      <c r="H253" s="85" t="s">
        <v>102</v>
      </c>
    </row>
    <row r="254" spans="1:8" ht="13">
      <c r="A254" s="85" t="s">
        <v>1072</v>
      </c>
      <c r="B254" s="85" t="s">
        <v>1333</v>
      </c>
      <c r="C254" s="85">
        <v>15</v>
      </c>
      <c r="D254" s="85" t="s">
        <v>1343</v>
      </c>
      <c r="E254" s="85" t="str">
        <f t="shared" si="0"/>
        <v>Programming part 3 - Iteration::15::Use iteration to perform validation checks</v>
      </c>
      <c r="F254" s="85" t="s">
        <v>960</v>
      </c>
      <c r="G254" s="85" t="s">
        <v>20</v>
      </c>
      <c r="H254" s="85" t="s">
        <v>102</v>
      </c>
    </row>
    <row r="255" spans="1:8" ht="13">
      <c r="A255" s="85" t="s">
        <v>1072</v>
      </c>
      <c r="B255" s="85" t="s">
        <v>1333</v>
      </c>
      <c r="C255" s="85">
        <v>16</v>
      </c>
      <c r="D255" s="85" t="s">
        <v>1344</v>
      </c>
      <c r="E255" s="85" t="str">
        <f t="shared" si="0"/>
        <v>Programming part 3 - Iteration::16::Describe the purpose of pseudocode</v>
      </c>
      <c r="F255" s="85" t="s">
        <v>960</v>
      </c>
      <c r="G255" s="85" t="s">
        <v>240</v>
      </c>
      <c r="H255" s="85" t="s">
        <v>102</v>
      </c>
    </row>
    <row r="256" spans="1:8" ht="13">
      <c r="A256" s="85" t="s">
        <v>1072</v>
      </c>
      <c r="B256" s="85" t="s">
        <v>1333</v>
      </c>
      <c r="C256" s="85">
        <v>16</v>
      </c>
      <c r="D256" s="85" t="s">
        <v>1345</v>
      </c>
      <c r="E256" s="85" t="str">
        <f t="shared" si="0"/>
        <v>Programming part 3 - Iteration::16::Translate pseudocode into a program</v>
      </c>
      <c r="F256" s="85" t="s">
        <v>960</v>
      </c>
      <c r="G256" s="85" t="s">
        <v>240</v>
      </c>
      <c r="H256" s="85" t="s">
        <v>102</v>
      </c>
    </row>
    <row r="257" spans="1:8" ht="13">
      <c r="A257" s="85" t="s">
        <v>1072</v>
      </c>
      <c r="B257" s="85" t="s">
        <v>1333</v>
      </c>
      <c r="C257" s="85">
        <v>16</v>
      </c>
      <c r="D257" s="85" t="s">
        <v>1346</v>
      </c>
      <c r="E257" s="85" t="str">
        <f t="shared" ref="E257:E325" si="1">B257&amp;"::"&amp;C257&amp;"::"&amp;D257</f>
        <v>Programming part 3 - Iteration::16::Design and build a program using pseudocode</v>
      </c>
      <c r="F257" s="85" t="s">
        <v>960</v>
      </c>
      <c r="G257" s="85" t="s">
        <v>172</v>
      </c>
      <c r="H257" s="85" t="s">
        <v>102</v>
      </c>
    </row>
    <row r="258" spans="1:8" ht="13">
      <c r="A258" s="85" t="s">
        <v>1072</v>
      </c>
      <c r="B258" s="85" t="s">
        <v>1347</v>
      </c>
      <c r="C258" s="85">
        <v>18</v>
      </c>
      <c r="D258" s="85" t="s">
        <v>1348</v>
      </c>
      <c r="E258" s="85" t="str">
        <f t="shared" si="1"/>
        <v>Programming part 4 - Subroutines::18::Describe a subroutine</v>
      </c>
      <c r="F258" s="85" t="s">
        <v>960</v>
      </c>
      <c r="G258" s="85" t="s">
        <v>20</v>
      </c>
      <c r="H258" s="85" t="s">
        <v>102</v>
      </c>
    </row>
    <row r="259" spans="1:8" ht="13">
      <c r="A259" s="85" t="s">
        <v>1072</v>
      </c>
      <c r="B259" s="85" t="s">
        <v>1347</v>
      </c>
      <c r="C259" s="85">
        <v>18</v>
      </c>
      <c r="D259" s="85" t="s">
        <v>1349</v>
      </c>
      <c r="E259" s="85" t="str">
        <f t="shared" si="1"/>
        <v>Programming part 4 - Subroutines::18::Describe the purpose of parameters in subroutines</v>
      </c>
      <c r="F259" s="85" t="s">
        <v>960</v>
      </c>
      <c r="G259" s="85" t="s">
        <v>20</v>
      </c>
      <c r="H259" s="85" t="s">
        <v>102</v>
      </c>
    </row>
    <row r="260" spans="1:8" ht="13">
      <c r="A260" s="85" t="s">
        <v>1072</v>
      </c>
      <c r="B260" s="85" t="s">
        <v>1347</v>
      </c>
      <c r="C260" s="85">
        <v>18</v>
      </c>
      <c r="D260" s="85" t="s">
        <v>1350</v>
      </c>
      <c r="E260" s="85" t="str">
        <f t="shared" si="1"/>
        <v>Programming part 4 - Subroutines::18::Use procedures that accept arguments through parameters</v>
      </c>
      <c r="F260" s="85" t="s">
        <v>960</v>
      </c>
      <c r="G260" s="85" t="s">
        <v>20</v>
      </c>
      <c r="H260" s="85" t="s">
        <v>102</v>
      </c>
    </row>
    <row r="261" spans="1:8" ht="13">
      <c r="A261" s="85" t="s">
        <v>1072</v>
      </c>
      <c r="B261" s="85" t="s">
        <v>1347</v>
      </c>
      <c r="C261" s="85">
        <v>18</v>
      </c>
      <c r="D261" s="85" t="s">
        <v>1351</v>
      </c>
      <c r="E261" s="85" t="str">
        <f t="shared" si="1"/>
        <v>Programming part 4 - Subroutines::18::Describe how subroutines are used for decomposition</v>
      </c>
      <c r="F261" s="85" t="s">
        <v>960</v>
      </c>
      <c r="G261" s="85" t="s">
        <v>20</v>
      </c>
      <c r="H261" s="85" t="s">
        <v>102</v>
      </c>
    </row>
    <row r="262" spans="1:8" ht="13">
      <c r="A262" s="85" t="s">
        <v>1072</v>
      </c>
      <c r="B262" s="85" t="s">
        <v>1347</v>
      </c>
      <c r="C262" s="85">
        <v>18</v>
      </c>
      <c r="D262" s="85" t="s">
        <v>1352</v>
      </c>
      <c r="E262" s="85" t="str">
        <f t="shared" si="1"/>
        <v>Programming part 4 - Subroutines::18::List the advantages of subroutines</v>
      </c>
      <c r="F262" s="85" t="s">
        <v>960</v>
      </c>
      <c r="G262" s="85" t="s">
        <v>20</v>
      </c>
      <c r="H262" s="85" t="s">
        <v>102</v>
      </c>
    </row>
    <row r="263" spans="1:8" ht="13">
      <c r="A263" s="85" t="s">
        <v>1072</v>
      </c>
      <c r="B263" s="85" t="s">
        <v>1347</v>
      </c>
      <c r="C263" s="85">
        <v>19</v>
      </c>
      <c r="D263" s="85" t="s">
        <v>1353</v>
      </c>
      <c r="E263" s="85" t="str">
        <f t="shared" si="1"/>
        <v>Programming part 4 - Subroutines::19::Explain the difference between a function and a procedure</v>
      </c>
      <c r="F263" s="85" t="s">
        <v>960</v>
      </c>
      <c r="G263" s="85" t="s">
        <v>20</v>
      </c>
      <c r="H263" s="85" t="s">
        <v>102</v>
      </c>
    </row>
    <row r="264" spans="1:8" ht="13">
      <c r="A264" s="85" t="s">
        <v>1072</v>
      </c>
      <c r="B264" s="85" t="s">
        <v>1347</v>
      </c>
      <c r="C264" s="85">
        <v>19</v>
      </c>
      <c r="D264" s="85" t="s">
        <v>1354</v>
      </c>
      <c r="E264" s="85" t="str">
        <f t="shared" si="1"/>
        <v>Programming part 4 - Subroutines::19::Use trace tables to investigate functions</v>
      </c>
      <c r="F264" s="85" t="s">
        <v>960</v>
      </c>
      <c r="G264" s="85" t="s">
        <v>240</v>
      </c>
      <c r="H264" s="85" t="s">
        <v>102</v>
      </c>
    </row>
    <row r="265" spans="1:8" ht="13">
      <c r="A265" s="85" t="s">
        <v>1072</v>
      </c>
      <c r="B265" s="85" t="s">
        <v>1347</v>
      </c>
      <c r="C265" s="85">
        <v>19</v>
      </c>
      <c r="D265" s="85" t="s">
        <v>1355</v>
      </c>
      <c r="E265" s="85" t="str">
        <f t="shared" si="1"/>
        <v>Programming part 4 - Subroutines::19::Use functions to return values in programs</v>
      </c>
      <c r="F265" s="85" t="s">
        <v>960</v>
      </c>
      <c r="G265" s="85" t="s">
        <v>20</v>
      </c>
      <c r="H265" s="85" t="s">
        <v>102</v>
      </c>
    </row>
    <row r="266" spans="1:8" ht="13">
      <c r="A266" s="85" t="s">
        <v>1072</v>
      </c>
      <c r="B266" s="85" t="s">
        <v>1347</v>
      </c>
      <c r="C266" s="85">
        <v>20</v>
      </c>
      <c r="D266" s="85" t="s">
        <v>1356</v>
      </c>
      <c r="E266" s="85" t="str">
        <f t="shared" si="1"/>
        <v>Programming part 4 - Subroutines::20::Describe scope of variables</v>
      </c>
      <c r="F266" s="85" t="s">
        <v>960</v>
      </c>
      <c r="G266" s="85" t="s">
        <v>20</v>
      </c>
      <c r="H266" s="85" t="s">
        <v>102</v>
      </c>
    </row>
    <row r="267" spans="1:8" ht="13">
      <c r="A267" s="85" t="s">
        <v>1072</v>
      </c>
      <c r="B267" s="85" t="s">
        <v>1347</v>
      </c>
      <c r="C267" s="85">
        <v>20</v>
      </c>
      <c r="D267" s="85" t="s">
        <v>1357</v>
      </c>
      <c r="E267" s="85" t="str">
        <f t="shared" si="1"/>
        <v>Programming part 4 - Subroutines::20::Describe how parameters can reduce the need for global variables</v>
      </c>
      <c r="F267" s="85" t="s">
        <v>960</v>
      </c>
      <c r="G267" s="85" t="s">
        <v>20</v>
      </c>
      <c r="H267" s="85" t="s">
        <v>102</v>
      </c>
    </row>
    <row r="268" spans="1:8" ht="13">
      <c r="A268" s="85" t="s">
        <v>1072</v>
      </c>
      <c r="B268" s="85" t="s">
        <v>1347</v>
      </c>
      <c r="C268" s="85">
        <v>20</v>
      </c>
      <c r="D268" s="85" t="s">
        <v>1358</v>
      </c>
      <c r="E268" s="85" t="str">
        <f t="shared" si="1"/>
        <v>Programming part 4 - Subroutines::20::Identify when to use global variables</v>
      </c>
      <c r="F268" s="85" t="s">
        <v>960</v>
      </c>
      <c r="G268" s="85" t="s">
        <v>20</v>
      </c>
      <c r="H268" s="85" t="s">
        <v>102</v>
      </c>
    </row>
    <row r="269" spans="1:8" ht="13">
      <c r="A269" s="85" t="s">
        <v>1072</v>
      </c>
      <c r="B269" s="85" t="s">
        <v>1347</v>
      </c>
      <c r="C269" s="85">
        <v>20</v>
      </c>
      <c r="D269" s="85" t="s">
        <v>1359</v>
      </c>
      <c r="E269" s="85" t="str">
        <f t="shared" si="1"/>
        <v>Programming part 4 - Subroutines::20::Describe a constant</v>
      </c>
      <c r="F269" s="85" t="s">
        <v>960</v>
      </c>
      <c r="G269" s="85" t="s">
        <v>20</v>
      </c>
      <c r="H269" s="85" t="s">
        <v>102</v>
      </c>
    </row>
    <row r="270" spans="1:8" ht="13">
      <c r="A270" s="85" t="s">
        <v>1072</v>
      </c>
      <c r="B270" s="85" t="s">
        <v>1347</v>
      </c>
      <c r="C270" s="85">
        <v>21</v>
      </c>
      <c r="D270" s="85" t="s">
        <v>1360</v>
      </c>
      <c r="E270" s="85" t="str">
        <f t="shared" si="1"/>
        <v>Programming part 4 - Subroutines::21::Use a truth table</v>
      </c>
      <c r="F270" s="85" t="s">
        <v>960</v>
      </c>
      <c r="G270" s="85" t="s">
        <v>240</v>
      </c>
      <c r="H270" s="85" t="s">
        <v>102</v>
      </c>
    </row>
    <row r="271" spans="1:8" ht="13">
      <c r="A271" s="85" t="s">
        <v>1072</v>
      </c>
      <c r="B271" s="85" t="s">
        <v>1347</v>
      </c>
      <c r="C271" s="85">
        <v>21</v>
      </c>
      <c r="D271" s="85" t="s">
        <v>1361</v>
      </c>
      <c r="E271" s="85" t="str">
        <f t="shared" si="1"/>
        <v>Programming part 4 - Subroutines::21::Describe the function of an XOR operator</v>
      </c>
      <c r="F271" s="85" t="s">
        <v>960</v>
      </c>
      <c r="G271" s="85" t="s">
        <v>18</v>
      </c>
      <c r="H271" s="85" t="s">
        <v>102</v>
      </c>
    </row>
    <row r="272" spans="1:8" ht="13">
      <c r="A272" s="85" t="s">
        <v>1072</v>
      </c>
      <c r="B272" s="85" t="s">
        <v>1347</v>
      </c>
      <c r="C272" s="85">
        <v>21</v>
      </c>
      <c r="D272" s="85" t="s">
        <v>1362</v>
      </c>
      <c r="E272" s="85" t="str">
        <f t="shared" si="1"/>
        <v>Programming part 4 - Subroutines::21::Design and create a function for an XOR operator</v>
      </c>
      <c r="F272" s="85" t="s">
        <v>960</v>
      </c>
      <c r="G272" s="85" t="s">
        <v>172</v>
      </c>
      <c r="H272" s="85" t="s">
        <v>102</v>
      </c>
    </row>
    <row r="273" spans="1:8" ht="13">
      <c r="A273" s="85" t="s">
        <v>1072</v>
      </c>
      <c r="B273" s="85" t="s">
        <v>1347</v>
      </c>
      <c r="C273" s="85">
        <v>22</v>
      </c>
      <c r="D273" s="85" t="s">
        <v>1363</v>
      </c>
      <c r="E273" s="85" t="str">
        <f t="shared" si="1"/>
        <v>Programming part 4 - Subroutines::22::Describe the structured approach to programming</v>
      </c>
      <c r="F273" s="85" t="s">
        <v>960</v>
      </c>
      <c r="G273" s="85" t="s">
        <v>20</v>
      </c>
      <c r="H273" s="85" t="s">
        <v>102</v>
      </c>
    </row>
    <row r="274" spans="1:8" ht="13">
      <c r="A274" s="85" t="s">
        <v>1072</v>
      </c>
      <c r="B274" s="85" t="s">
        <v>1347</v>
      </c>
      <c r="C274" s="85">
        <v>22</v>
      </c>
      <c r="D274" s="85" t="s">
        <v>1364</v>
      </c>
      <c r="E274" s="85" t="str">
        <f t="shared" si="1"/>
        <v>Programming part 4 - Subroutines::22::Explain the advantages of the structured approach</v>
      </c>
      <c r="F274" s="85" t="s">
        <v>960</v>
      </c>
      <c r="G274" s="85" t="s">
        <v>20</v>
      </c>
      <c r="H274" s="85" t="s">
        <v>102</v>
      </c>
    </row>
    <row r="275" spans="1:8" ht="13">
      <c r="A275" s="85" t="s">
        <v>1072</v>
      </c>
      <c r="B275" s="85" t="s">
        <v>1347</v>
      </c>
      <c r="C275" s="85">
        <v>22</v>
      </c>
      <c r="D275" s="85" t="s">
        <v>1365</v>
      </c>
      <c r="E275" s="85" t="str">
        <f t="shared" si="1"/>
        <v>Programming part 4 - Subroutines::22::Use the structured approach in programming</v>
      </c>
      <c r="F275" s="85" t="s">
        <v>960</v>
      </c>
      <c r="G275" s="85" t="s">
        <v>20</v>
      </c>
      <c r="H275" s="85" t="s">
        <v>102</v>
      </c>
    </row>
    <row r="276" spans="1:8" ht="13">
      <c r="A276" s="85" t="s">
        <v>1072</v>
      </c>
      <c r="B276" s="85" t="s">
        <v>1347</v>
      </c>
      <c r="C276" s="85">
        <v>23</v>
      </c>
      <c r="D276" s="85" t="s">
        <v>1366</v>
      </c>
      <c r="E276" s="85" t="str">
        <f t="shared" si="1"/>
        <v>Programming part 4 - Subroutines::23::Describe iterative testing</v>
      </c>
      <c r="F276" s="85" t="s">
        <v>960</v>
      </c>
      <c r="G276" s="85" t="s">
        <v>20</v>
      </c>
      <c r="H276" s="85" t="s">
        <v>102</v>
      </c>
    </row>
    <row r="277" spans="1:8" ht="13">
      <c r="A277" s="85" t="s">
        <v>1072</v>
      </c>
      <c r="B277" s="85" t="s">
        <v>1347</v>
      </c>
      <c r="C277" s="85">
        <v>23</v>
      </c>
      <c r="D277" s="85" t="s">
        <v>1367</v>
      </c>
      <c r="E277" s="85" t="str">
        <f t="shared" si="1"/>
        <v>Programming part 4 - Subroutines::23::Describe the types of testing (erroneous, boundary, normal)</v>
      </c>
      <c r="F277" s="85" t="s">
        <v>960</v>
      </c>
      <c r="G277" s="85" t="s">
        <v>20</v>
      </c>
      <c r="H277" s="85" t="s">
        <v>102</v>
      </c>
    </row>
    <row r="278" spans="1:8" ht="13">
      <c r="A278" s="85" t="s">
        <v>1072</v>
      </c>
      <c r="B278" s="85" t="s">
        <v>1347</v>
      </c>
      <c r="C278" s="85">
        <v>23</v>
      </c>
      <c r="D278" s="85" t="s">
        <v>1368</v>
      </c>
      <c r="E278" s="85" t="str">
        <f t="shared" si="1"/>
        <v>Programming part 4 - Subroutines::23::Design and create a program</v>
      </c>
      <c r="F278" s="85" t="s">
        <v>960</v>
      </c>
      <c r="G278" s="85" t="s">
        <v>172</v>
      </c>
      <c r="H278" s="85" t="s">
        <v>102</v>
      </c>
    </row>
    <row r="279" spans="1:8" ht="13">
      <c r="A279" s="85" t="s">
        <v>1072</v>
      </c>
      <c r="B279" s="85" t="s">
        <v>1369</v>
      </c>
      <c r="C279" s="85">
        <v>25</v>
      </c>
      <c r="D279" s="85" t="s">
        <v>1370</v>
      </c>
      <c r="E279" s="85" t="str">
        <f t="shared" si="1"/>
        <v>Programming part 5 - Strings and lists::25::Define the term GUI</v>
      </c>
      <c r="F279" s="85" t="s">
        <v>960</v>
      </c>
      <c r="G279" s="85" t="s">
        <v>502</v>
      </c>
      <c r="H279" s="85" t="s">
        <v>102</v>
      </c>
    </row>
    <row r="280" spans="1:8" ht="13">
      <c r="A280" s="85" t="s">
        <v>1072</v>
      </c>
      <c r="B280" s="85" t="s">
        <v>1369</v>
      </c>
      <c r="C280" s="85">
        <v>25</v>
      </c>
      <c r="D280" s="85" t="s">
        <v>1371</v>
      </c>
      <c r="E280" s="85" t="str">
        <f t="shared" si="1"/>
        <v>Programming part 5 - Strings and lists::25::Import third-party libraries</v>
      </c>
      <c r="F280" s="85" t="s">
        <v>960</v>
      </c>
      <c r="G280" s="85" t="s">
        <v>324</v>
      </c>
      <c r="H280" s="85" t="s">
        <v>102</v>
      </c>
    </row>
    <row r="281" spans="1:8" ht="13">
      <c r="A281" s="85" t="s">
        <v>1072</v>
      </c>
      <c r="B281" s="85" t="s">
        <v>1369</v>
      </c>
      <c r="C281" s="85">
        <v>25</v>
      </c>
      <c r="D281" s="85" t="s">
        <v>1372</v>
      </c>
      <c r="E281" s="85" t="str">
        <f t="shared" si="1"/>
        <v>Programming part 5 - Strings and lists::25::Use guizero to create an event-driven program that uses a GUI</v>
      </c>
      <c r="F281" s="85" t="s">
        <v>960</v>
      </c>
      <c r="G281" s="85" t="s">
        <v>324</v>
      </c>
      <c r="H281" s="85" t="s">
        <v>102</v>
      </c>
    </row>
    <row r="282" spans="1:8" ht="13">
      <c r="A282" s="85" t="s">
        <v>1072</v>
      </c>
      <c r="B282" s="85" t="s">
        <v>1369</v>
      </c>
      <c r="C282" s="85">
        <v>26</v>
      </c>
      <c r="D282" s="85" t="s">
        <v>1373</v>
      </c>
      <c r="E282" s="85" t="str">
        <f t="shared" si="1"/>
        <v>Programming part 5 - Strings and lists::26::Describe the function of string operators</v>
      </c>
      <c r="F282" s="85" t="s">
        <v>960</v>
      </c>
      <c r="G282" s="85" t="s">
        <v>20</v>
      </c>
      <c r="H282" s="85" t="s">
        <v>102</v>
      </c>
    </row>
    <row r="283" spans="1:8" ht="13">
      <c r="A283" s="85" t="s">
        <v>1072</v>
      </c>
      <c r="B283" s="85" t="s">
        <v>1369</v>
      </c>
      <c r="C283" s="85">
        <v>26</v>
      </c>
      <c r="D283" s="85" t="s">
        <v>1374</v>
      </c>
      <c r="E283" s="85" t="str">
        <f t="shared" si="1"/>
        <v>Programming part 5 - Strings and lists::26::Use string handling techniques</v>
      </c>
      <c r="F283" s="85" t="s">
        <v>960</v>
      </c>
      <c r="G283" s="85" t="s">
        <v>20</v>
      </c>
      <c r="H283" s="85" t="s">
        <v>102</v>
      </c>
    </row>
    <row r="284" spans="1:8" ht="13">
      <c r="A284" s="85" t="s">
        <v>1072</v>
      </c>
      <c r="B284" s="85" t="s">
        <v>1369</v>
      </c>
      <c r="C284" s="85">
        <v>26</v>
      </c>
      <c r="D284" s="85" t="s">
        <v>1375</v>
      </c>
      <c r="E284" s="85" t="str">
        <f t="shared" si="1"/>
        <v>Programming part 5 - Strings and lists::26::Use for loops with string operations</v>
      </c>
      <c r="F284" s="85" t="s">
        <v>960</v>
      </c>
      <c r="G284" s="85" t="s">
        <v>20</v>
      </c>
      <c r="H284" s="85" t="s">
        <v>102</v>
      </c>
    </row>
    <row r="285" spans="1:8" ht="13">
      <c r="A285" s="85" t="s">
        <v>1072</v>
      </c>
      <c r="B285" s="85" t="s">
        <v>1369</v>
      </c>
      <c r="C285" s="85">
        <v>27</v>
      </c>
      <c r="D285" s="85" t="s">
        <v>1376</v>
      </c>
      <c r="E285" s="85" t="str">
        <f t="shared" si="1"/>
        <v>Programming part 5 - Strings and lists::27::Use a substring in a program</v>
      </c>
      <c r="F285" s="85" t="s">
        <v>960</v>
      </c>
      <c r="G285" s="85" t="s">
        <v>20</v>
      </c>
      <c r="H285" s="85" t="s">
        <v>102</v>
      </c>
    </row>
    <row r="286" spans="1:8" ht="13">
      <c r="A286" s="85" t="s">
        <v>1072</v>
      </c>
      <c r="B286" s="85" t="s">
        <v>1369</v>
      </c>
      <c r="C286" s="85">
        <v>27</v>
      </c>
      <c r="D286" s="85" t="s">
        <v>1377</v>
      </c>
      <c r="E286" s="85" t="str">
        <f t="shared" si="1"/>
        <v>Programming part 5 - Strings and lists::27::Use the in operator to check for a substring</v>
      </c>
      <c r="F286" s="85" t="s">
        <v>960</v>
      </c>
      <c r="G286" s="85" t="s">
        <v>20</v>
      </c>
      <c r="H286" s="85" t="s">
        <v>102</v>
      </c>
    </row>
    <row r="287" spans="1:8" ht="13">
      <c r="A287" s="85" t="s">
        <v>1072</v>
      </c>
      <c r="B287" s="85" t="s">
        <v>1369</v>
      </c>
      <c r="C287" s="85">
        <v>27</v>
      </c>
      <c r="D287" s="85" t="s">
        <v>1378</v>
      </c>
      <c r="E287" s="85" t="str">
        <f t="shared" si="1"/>
        <v>Programming part 5 - Strings and lists::27::Use chr() and ord() to perform ASCII conversions</v>
      </c>
      <c r="F287" s="85" t="s">
        <v>960</v>
      </c>
      <c r="G287" s="85" t="s">
        <v>911</v>
      </c>
      <c r="H287" s="85" t="s">
        <v>102</v>
      </c>
    </row>
    <row r="288" spans="1:8" ht="13">
      <c r="A288" s="85" t="s">
        <v>1072</v>
      </c>
      <c r="B288" s="85" t="s">
        <v>1369</v>
      </c>
      <c r="C288" s="85">
        <v>28</v>
      </c>
      <c r="D288" s="85" t="s">
        <v>1379</v>
      </c>
      <c r="E288" s="85" t="str">
        <f t="shared" si="1"/>
        <v>Programming part 5 - Strings and lists::28::Create a program that uses string handling techniques</v>
      </c>
      <c r="F288" s="85" t="s">
        <v>960</v>
      </c>
      <c r="G288" s="85" t="s">
        <v>20</v>
      </c>
      <c r="H288" s="85" t="s">
        <v>102</v>
      </c>
    </row>
    <row r="289" spans="1:8" ht="13">
      <c r="A289" s="85" t="s">
        <v>1072</v>
      </c>
      <c r="B289" s="85" t="s">
        <v>1369</v>
      </c>
      <c r="C289" s="85">
        <v>29</v>
      </c>
      <c r="D289" s="85" t="s">
        <v>1380</v>
      </c>
      <c r="E289" s="85" t="str">
        <f t="shared" si="1"/>
        <v>Programming part 5 - Strings and lists::29::Define a data structure</v>
      </c>
      <c r="F289" s="85" t="s">
        <v>960</v>
      </c>
      <c r="G289" s="85" t="s">
        <v>911</v>
      </c>
      <c r="H289" s="85" t="s">
        <v>102</v>
      </c>
    </row>
    <row r="290" spans="1:8" ht="13">
      <c r="A290" s="85" t="s">
        <v>1072</v>
      </c>
      <c r="B290" s="85" t="s">
        <v>1369</v>
      </c>
      <c r="C290" s="85">
        <v>29</v>
      </c>
      <c r="D290" s="85" t="s">
        <v>1381</v>
      </c>
      <c r="E290" s="85" t="str">
        <f t="shared" si="1"/>
        <v>Programming part 5 - Strings and lists::29::Define a list and an array</v>
      </c>
      <c r="F290" s="85" t="s">
        <v>960</v>
      </c>
      <c r="G290" s="85" t="s">
        <v>911</v>
      </c>
      <c r="H290" s="85" t="s">
        <v>102</v>
      </c>
    </row>
    <row r="291" spans="1:8" ht="13">
      <c r="A291" s="85" t="s">
        <v>1072</v>
      </c>
      <c r="B291" s="85" t="s">
        <v>1369</v>
      </c>
      <c r="C291" s="85">
        <v>29</v>
      </c>
      <c r="D291" s="85" t="s">
        <v>1382</v>
      </c>
      <c r="E291" s="85" t="str">
        <f t="shared" si="1"/>
        <v>Programming part 5 - Strings and lists::29::Describe the differences between lists and arrays</v>
      </c>
      <c r="F291" s="85" t="s">
        <v>960</v>
      </c>
      <c r="G291" s="85" t="s">
        <v>911</v>
      </c>
      <c r="H291" s="85" t="s">
        <v>102</v>
      </c>
    </row>
    <row r="292" spans="1:8" ht="13">
      <c r="A292" s="85" t="s">
        <v>1072</v>
      </c>
      <c r="B292" s="85" t="s">
        <v>1369</v>
      </c>
      <c r="C292" s="85">
        <v>29</v>
      </c>
      <c r="D292" s="85" t="s">
        <v>1383</v>
      </c>
      <c r="E292" s="85" t="str">
        <f t="shared" si="1"/>
        <v>Programming part 5 - Strings and lists::29::Use a list in a program</v>
      </c>
      <c r="F292" s="85" t="s">
        <v>960</v>
      </c>
      <c r="G292" s="85" t="s">
        <v>20</v>
      </c>
      <c r="H292" s="85" t="s">
        <v>102</v>
      </c>
    </row>
    <row r="293" spans="1:8" ht="13">
      <c r="A293" s="85" t="s">
        <v>1072</v>
      </c>
      <c r="B293" s="85" t="s">
        <v>1369</v>
      </c>
      <c r="C293" s="85">
        <v>29</v>
      </c>
      <c r="D293" s="85" t="s">
        <v>1384</v>
      </c>
      <c r="E293" s="85" t="str">
        <f t="shared" si="1"/>
        <v>Programming part 5 - Strings and lists::29::Append to a list</v>
      </c>
      <c r="F293" s="85" t="s">
        <v>960</v>
      </c>
      <c r="G293" s="85" t="s">
        <v>20</v>
      </c>
      <c r="H293" s="85" t="s">
        <v>102</v>
      </c>
    </row>
    <row r="294" spans="1:8" ht="13">
      <c r="A294" s="85" t="s">
        <v>1072</v>
      </c>
      <c r="B294" s="85" t="s">
        <v>1369</v>
      </c>
      <c r="C294" s="85">
        <v>30</v>
      </c>
      <c r="D294" s="85" t="s">
        <v>1385</v>
      </c>
      <c r="E294" s="85" t="str">
        <f t="shared" si="1"/>
        <v>Programming part 5 - Strings and lists::30::Traverse a list of elements</v>
      </c>
      <c r="F294" s="85" t="s">
        <v>960</v>
      </c>
      <c r="G294" s="85" t="s">
        <v>904</v>
      </c>
      <c r="H294" s="85" t="s">
        <v>102</v>
      </c>
    </row>
    <row r="295" spans="1:8" ht="13">
      <c r="A295" s="85" t="s">
        <v>1072</v>
      </c>
      <c r="B295" s="85" t="s">
        <v>1369</v>
      </c>
      <c r="C295" s="85">
        <v>30</v>
      </c>
      <c r="D295" s="85" t="s">
        <v>1386</v>
      </c>
      <c r="E295" s="85" t="str">
        <f t="shared" si="1"/>
        <v>Programming part 5 - Strings and lists::30::Use list methods</v>
      </c>
      <c r="F295" s="85" t="s">
        <v>960</v>
      </c>
      <c r="G295" s="85" t="s">
        <v>20</v>
      </c>
      <c r="H295" s="85" t="s">
        <v>102</v>
      </c>
    </row>
    <row r="296" spans="1:8" ht="13">
      <c r="A296" s="85" t="s">
        <v>1072</v>
      </c>
      <c r="B296" s="85" t="s">
        <v>1369</v>
      </c>
      <c r="C296" s="85">
        <v>30</v>
      </c>
      <c r="D296" s="85" t="s">
        <v>1387</v>
      </c>
      <c r="E296" s="85" t="str">
        <f t="shared" si="1"/>
        <v>Programming part 5 - Strings and lists::30::Create a function that returns a list</v>
      </c>
      <c r="F296" s="85" t="s">
        <v>960</v>
      </c>
      <c r="G296" s="85" t="s">
        <v>20</v>
      </c>
      <c r="H296" s="85" t="s">
        <v>102</v>
      </c>
    </row>
    <row r="297" spans="1:8" ht="13">
      <c r="A297" s="85" t="s">
        <v>1072</v>
      </c>
      <c r="B297" s="85" t="s">
        <v>1369</v>
      </c>
      <c r="C297" s="85">
        <v>30</v>
      </c>
      <c r="D297" s="85" t="s">
        <v>1388</v>
      </c>
      <c r="E297" s="85" t="str">
        <f t="shared" si="1"/>
        <v>Programming part 5 - Strings and lists::30::Import custom built functions</v>
      </c>
      <c r="F297" s="85" t="s">
        <v>960</v>
      </c>
      <c r="G297" s="85" t="s">
        <v>20</v>
      </c>
      <c r="H297" s="85" t="s">
        <v>102</v>
      </c>
    </row>
    <row r="298" spans="1:8" ht="13">
      <c r="A298" s="85" t="s">
        <v>1072</v>
      </c>
      <c r="B298" s="85" t="s">
        <v>1369</v>
      </c>
      <c r="C298" s="85">
        <v>31</v>
      </c>
      <c r="D298" s="85" t="s">
        <v>1389</v>
      </c>
      <c r="E298" s="85" t="str">
        <f t="shared" si="1"/>
        <v>Programming part 5 - Strings and lists::31::Use lists to display output on a physical computing device</v>
      </c>
      <c r="F298" s="85" t="s">
        <v>960</v>
      </c>
      <c r="G298" s="85" t="s">
        <v>502</v>
      </c>
      <c r="H298" s="85" t="s">
        <v>102</v>
      </c>
    </row>
    <row r="299" spans="1:8" ht="13">
      <c r="A299" s="85" t="s">
        <v>1072</v>
      </c>
      <c r="B299" s="85" t="s">
        <v>1369</v>
      </c>
      <c r="C299" s="85">
        <v>32</v>
      </c>
      <c r="D299" s="85" t="s">
        <v>1390</v>
      </c>
      <c r="E299" s="85" t="str">
        <f t="shared" si="1"/>
        <v>Programming part 5 - Strings and lists::32::Use randomisation to append items to a list</v>
      </c>
      <c r="F299" s="85" t="s">
        <v>960</v>
      </c>
      <c r="G299" s="85" t="s">
        <v>20</v>
      </c>
      <c r="H299" s="85" t="s">
        <v>102</v>
      </c>
    </row>
    <row r="300" spans="1:8" ht="13">
      <c r="A300" s="85" t="s">
        <v>1072</v>
      </c>
      <c r="B300" s="85" t="s">
        <v>1369</v>
      </c>
      <c r="C300" s="85">
        <v>33</v>
      </c>
      <c r="D300" s="85" t="s">
        <v>1391</v>
      </c>
      <c r="E300" s="85" t="str">
        <f t="shared" si="1"/>
        <v>Programming part 5 - Strings and lists::33::Define a 2D array and a list</v>
      </c>
      <c r="F300" s="85" t="s">
        <v>960</v>
      </c>
      <c r="G300" s="85" t="s">
        <v>911</v>
      </c>
      <c r="H300" s="85" t="s">
        <v>102</v>
      </c>
    </row>
    <row r="301" spans="1:8" ht="13">
      <c r="A301" s="85" t="s">
        <v>1072</v>
      </c>
      <c r="B301" s="85" t="s">
        <v>1369</v>
      </c>
      <c r="C301" s="85">
        <v>33</v>
      </c>
      <c r="D301" s="85" t="s">
        <v>1392</v>
      </c>
      <c r="E301" s="85" t="str">
        <f t="shared" si="1"/>
        <v>Programming part 5 - Strings and lists::33::Use a 2D list in a program</v>
      </c>
      <c r="F301" s="85" t="s">
        <v>960</v>
      </c>
      <c r="G301" s="85" t="s">
        <v>20</v>
      </c>
      <c r="H301" s="85" t="s">
        <v>102</v>
      </c>
    </row>
    <row r="302" spans="1:8" ht="13">
      <c r="A302" s="85" t="s">
        <v>1072</v>
      </c>
      <c r="B302" s="85" t="s">
        <v>1369</v>
      </c>
      <c r="C302" s="85">
        <v>34</v>
      </c>
      <c r="D302" s="85" t="s">
        <v>1393</v>
      </c>
      <c r="E302" s="85" t="str">
        <f t="shared" si="1"/>
        <v>Programming part 5 - Strings and lists::34::Use a 2D list as part of a programming challenge</v>
      </c>
      <c r="F302" s="85" t="s">
        <v>960</v>
      </c>
      <c r="G302" s="85" t="s">
        <v>20</v>
      </c>
      <c r="H302" s="85" t="s">
        <v>102</v>
      </c>
    </row>
    <row r="303" spans="1:8" ht="13">
      <c r="A303" s="85" t="s">
        <v>1072</v>
      </c>
      <c r="B303" s="85" t="s">
        <v>1394</v>
      </c>
      <c r="C303" s="85">
        <v>36</v>
      </c>
      <c r="D303" s="85" t="s">
        <v>1395</v>
      </c>
      <c r="E303" s="85" t="str">
        <f t="shared" si="1"/>
        <v>Programming part 6 - Dictionaries and datafiles::36::Describe the record data structure</v>
      </c>
      <c r="F303" s="85" t="s">
        <v>960</v>
      </c>
      <c r="G303" s="85" t="s">
        <v>911</v>
      </c>
      <c r="H303" s="85" t="s">
        <v>102</v>
      </c>
    </row>
    <row r="304" spans="1:8" ht="13">
      <c r="A304" s="85" t="s">
        <v>1072</v>
      </c>
      <c r="B304" s="85" t="s">
        <v>1394</v>
      </c>
      <c r="C304" s="85">
        <v>36</v>
      </c>
      <c r="D304" s="85" t="s">
        <v>1396</v>
      </c>
      <c r="E304" s="85" t="str">
        <f t="shared" si="1"/>
        <v>Programming part 6 - Dictionaries and datafiles::36::Use a dictionary to represent a record in a program</v>
      </c>
      <c r="F304" s="85" t="s">
        <v>960</v>
      </c>
      <c r="G304" s="85" t="s">
        <v>911</v>
      </c>
      <c r="H304" s="85" t="s">
        <v>102</v>
      </c>
    </row>
    <row r="305" spans="1:8" ht="13">
      <c r="A305" s="85" t="s">
        <v>1072</v>
      </c>
      <c r="B305" s="85" t="s">
        <v>1394</v>
      </c>
      <c r="C305" s="85">
        <v>36</v>
      </c>
      <c r="D305" s="85" t="s">
        <v>1397</v>
      </c>
      <c r="E305" s="85" t="str">
        <f t="shared" si="1"/>
        <v>Programming part 6 - Dictionaries and datafiles::36::Use a dictionary with a list to represent records in a database</v>
      </c>
      <c r="F305" s="85" t="s">
        <v>960</v>
      </c>
      <c r="G305" s="85" t="s">
        <v>911</v>
      </c>
      <c r="H305" s="85" t="s">
        <v>102</v>
      </c>
    </row>
    <row r="306" spans="1:8" ht="13">
      <c r="A306" s="85" t="s">
        <v>1072</v>
      </c>
      <c r="B306" s="85" t="s">
        <v>1394</v>
      </c>
      <c r="C306" s="85">
        <v>37</v>
      </c>
      <c r="D306" s="85" t="s">
        <v>1398</v>
      </c>
      <c r="E306" s="85" t="str">
        <f t="shared" si="1"/>
        <v>Programming part 6 - Dictionaries and datafiles::37::Describe the dictionary data structure</v>
      </c>
      <c r="F306" s="85" t="s">
        <v>960</v>
      </c>
      <c r="G306" s="85" t="s">
        <v>911</v>
      </c>
      <c r="H306" s="85" t="s">
        <v>102</v>
      </c>
    </row>
    <row r="307" spans="1:8" ht="13">
      <c r="A307" s="85" t="s">
        <v>1072</v>
      </c>
      <c r="B307" s="85" t="s">
        <v>1394</v>
      </c>
      <c r="C307" s="85">
        <v>37</v>
      </c>
      <c r="D307" s="85" t="s">
        <v>1399</v>
      </c>
      <c r="E307" s="85" t="str">
        <f t="shared" si="1"/>
        <v>Programming part 6 - Dictionaries and datafiles::37::Use a dictionary to produce key-value pairs</v>
      </c>
      <c r="F307" s="85" t="s">
        <v>960</v>
      </c>
      <c r="G307" s="85" t="s">
        <v>20</v>
      </c>
      <c r="H307" s="85" t="s">
        <v>102</v>
      </c>
    </row>
    <row r="308" spans="1:8" ht="13">
      <c r="A308" s="85" t="s">
        <v>1072</v>
      </c>
      <c r="B308" s="85" t="s">
        <v>1394</v>
      </c>
      <c r="C308" s="85">
        <v>38</v>
      </c>
      <c r="D308" s="85" t="s">
        <v>1400</v>
      </c>
      <c r="E308" s="85" t="str">
        <f t="shared" si="1"/>
        <v>Programming part 6 - Dictionaries and datafiles::38::Determine the purpose of external data files</v>
      </c>
      <c r="F308" s="85" t="s">
        <v>960</v>
      </c>
      <c r="G308" s="85" t="s">
        <v>728</v>
      </c>
      <c r="H308" s="85" t="s">
        <v>102</v>
      </c>
    </row>
    <row r="309" spans="1:8" ht="13">
      <c r="A309" s="85" t="s">
        <v>1072</v>
      </c>
      <c r="B309" s="85" t="s">
        <v>1394</v>
      </c>
      <c r="C309" s="85">
        <v>38</v>
      </c>
      <c r="D309" s="85" t="s">
        <v>1401</v>
      </c>
      <c r="E309" s="85" t="str">
        <f t="shared" si="1"/>
        <v>Programming part 6 - Dictionaries and datafiles::38::Read data from an external text file</v>
      </c>
      <c r="F309" s="85" t="s">
        <v>960</v>
      </c>
      <c r="G309" s="85" t="s">
        <v>728</v>
      </c>
      <c r="H309" s="85" t="s">
        <v>102</v>
      </c>
    </row>
    <row r="310" spans="1:8" ht="13">
      <c r="A310" s="85" t="s">
        <v>1072</v>
      </c>
      <c r="B310" s="85" t="s">
        <v>1394</v>
      </c>
      <c r="C310" s="85">
        <v>39</v>
      </c>
      <c r="D310" s="85" t="s">
        <v>1402</v>
      </c>
      <c r="E310" s="85" t="str">
        <f t="shared" si="1"/>
        <v>Programming part 6 - Dictionaries and datafiles::39::Write to text files</v>
      </c>
      <c r="F310" s="85" t="s">
        <v>960</v>
      </c>
      <c r="G310" s="85" t="s">
        <v>728</v>
      </c>
      <c r="H310" s="85" t="s">
        <v>102</v>
      </c>
    </row>
    <row r="311" spans="1:8" ht="13">
      <c r="A311" s="85" t="s">
        <v>1072</v>
      </c>
      <c r="B311" s="85" t="s">
        <v>1394</v>
      </c>
      <c r="C311" s="85">
        <v>39</v>
      </c>
      <c r="D311" s="85" t="s">
        <v>1403</v>
      </c>
      <c r="E311" s="85" t="str">
        <f t="shared" si="1"/>
        <v>Programming part 6 - Dictionaries and datafiles::39::Append to text files</v>
      </c>
      <c r="F311" s="85" t="s">
        <v>960</v>
      </c>
      <c r="G311" s="85" t="s">
        <v>728</v>
      </c>
      <c r="H311" s="85" t="s">
        <v>102</v>
      </c>
    </row>
    <row r="312" spans="1:8" ht="13">
      <c r="A312" s="85" t="s">
        <v>1072</v>
      </c>
      <c r="B312" s="85" t="s">
        <v>1394</v>
      </c>
      <c r="C312" s="85">
        <v>40</v>
      </c>
      <c r="D312" s="85" t="s">
        <v>1404</v>
      </c>
      <c r="E312" s="85" t="str">
        <f t="shared" si="1"/>
        <v>Programming part 6 - Dictionaries and datafiles::40::Describe a CSV file</v>
      </c>
      <c r="F312" s="85" t="s">
        <v>960</v>
      </c>
      <c r="G312" s="85" t="s">
        <v>911</v>
      </c>
      <c r="H312" s="85" t="s">
        <v>102</v>
      </c>
    </row>
    <row r="313" spans="1:8" ht="13">
      <c r="A313" s="85" t="s">
        <v>1072</v>
      </c>
      <c r="B313" s="85" t="s">
        <v>1394</v>
      </c>
      <c r="C313" s="85">
        <v>40</v>
      </c>
      <c r="D313" s="85" t="s">
        <v>1405</v>
      </c>
      <c r="E313" s="85" t="str">
        <f t="shared" si="1"/>
        <v>Programming part 6 - Dictionaries and datafiles::40::Read from a CSV file</v>
      </c>
      <c r="F313" s="85" t="s">
        <v>960</v>
      </c>
      <c r="G313" s="85" t="s">
        <v>728</v>
      </c>
      <c r="H313" s="85" t="s">
        <v>102</v>
      </c>
    </row>
    <row r="314" spans="1:8" ht="13">
      <c r="A314" s="85" t="s">
        <v>1072</v>
      </c>
      <c r="B314" s="85" t="s">
        <v>1394</v>
      </c>
      <c r="C314" s="85">
        <v>40</v>
      </c>
      <c r="D314" s="85" t="s">
        <v>1406</v>
      </c>
      <c r="E314" s="85" t="str">
        <f t="shared" si="1"/>
        <v>Programming part 6 - Dictionaries and datafiles::40::Use the split() method</v>
      </c>
      <c r="F314" s="85" t="s">
        <v>960</v>
      </c>
      <c r="G314" s="85" t="s">
        <v>20</v>
      </c>
      <c r="H314" s="85" t="s">
        <v>102</v>
      </c>
    </row>
    <row r="315" spans="1:8" ht="13">
      <c r="A315" s="85" t="s">
        <v>1072</v>
      </c>
      <c r="B315" s="85" t="s">
        <v>1394</v>
      </c>
      <c r="C315" s="85">
        <v>40</v>
      </c>
      <c r="D315" s="85" t="s">
        <v>1407</v>
      </c>
      <c r="E315" s="85" t="str">
        <f t="shared" si="1"/>
        <v>Programming part 6 - Dictionaries and datafiles::40::Select data from a collection of values</v>
      </c>
      <c r="F315" s="85" t="s">
        <v>960</v>
      </c>
      <c r="G315" s="85" t="s">
        <v>911</v>
      </c>
      <c r="H315" s="85" t="s">
        <v>102</v>
      </c>
    </row>
    <row r="316" spans="1:8" ht="13">
      <c r="A316" s="85" t="s">
        <v>1072</v>
      </c>
      <c r="B316" s="85" t="s">
        <v>1394</v>
      </c>
      <c r="C316" s="85">
        <v>41</v>
      </c>
      <c r="D316" s="85" t="s">
        <v>1408</v>
      </c>
      <c r="E316" s="85" t="str">
        <f t="shared" si="1"/>
        <v>Programming part 6 - Dictionaries and datafiles::41::Write data from a 1D list to a CSV file</v>
      </c>
      <c r="F316" s="85" t="s">
        <v>960</v>
      </c>
      <c r="G316" s="85" t="s">
        <v>728</v>
      </c>
      <c r="H316" s="85" t="s">
        <v>102</v>
      </c>
    </row>
    <row r="317" spans="1:8" ht="13">
      <c r="A317" s="85" t="s">
        <v>1072</v>
      </c>
      <c r="B317" s="85" t="s">
        <v>1394</v>
      </c>
      <c r="C317" s="85">
        <v>41</v>
      </c>
      <c r="D317" s="85" t="s">
        <v>1409</v>
      </c>
      <c r="E317" s="85" t="str">
        <f t="shared" si="1"/>
        <v>Programming part 6 - Dictionaries and datafiles::41::Write data from a 2D list to a CSV file</v>
      </c>
      <c r="F317" s="85" t="s">
        <v>960</v>
      </c>
      <c r="G317" s="85" t="s">
        <v>728</v>
      </c>
      <c r="H317" s="85" t="s">
        <v>102</v>
      </c>
    </row>
    <row r="318" spans="1:8" ht="13">
      <c r="A318" s="85" t="s">
        <v>1072</v>
      </c>
      <c r="B318" s="85" t="s">
        <v>1394</v>
      </c>
      <c r="C318" s="85">
        <v>42</v>
      </c>
      <c r="D318" s="85" t="s">
        <v>1410</v>
      </c>
      <c r="E318" s="85" t="str">
        <f t="shared" si="1"/>
        <v>Programming part 6 - Dictionaries and datafiles::42::Determine the good habits of a programmer</v>
      </c>
      <c r="F318" s="85" t="s">
        <v>960</v>
      </c>
      <c r="G318" s="85" t="s">
        <v>796</v>
      </c>
      <c r="H318" s="85" t="s">
        <v>102</v>
      </c>
    </row>
    <row r="319" spans="1:8" ht="13">
      <c r="A319" s="85" t="s">
        <v>1072</v>
      </c>
      <c r="B319" s="85" t="s">
        <v>1394</v>
      </c>
      <c r="C319" s="85">
        <v>42</v>
      </c>
      <c r="D319" s="85" t="s">
        <v>1411</v>
      </c>
      <c r="E319" s="85" t="str">
        <f t="shared" si="1"/>
        <v>Programming part 6 - Dictionaries and datafiles::42::Explore alternative approaches to programming solutions</v>
      </c>
      <c r="F319" s="85" t="s">
        <v>960</v>
      </c>
      <c r="G319" s="85" t="s">
        <v>319</v>
      </c>
      <c r="H319" s="85" t="s">
        <v>102</v>
      </c>
    </row>
    <row r="320" spans="1:8" ht="13">
      <c r="A320" s="85" t="s">
        <v>1072</v>
      </c>
      <c r="B320" s="85" t="s">
        <v>1394</v>
      </c>
      <c r="C320" s="85">
        <v>42</v>
      </c>
      <c r="D320" s="85" t="s">
        <v>1412</v>
      </c>
      <c r="E320" s="85" t="str">
        <f t="shared" si="1"/>
        <v>Programming part 6 - Dictionaries and datafiles::42::Append to a CSV file</v>
      </c>
      <c r="F320" s="85" t="s">
        <v>960</v>
      </c>
      <c r="G320" s="85" t="s">
        <v>728</v>
      </c>
      <c r="H320" s="85" t="s">
        <v>102</v>
      </c>
    </row>
    <row r="321" spans="1:8" ht="13">
      <c r="A321" s="85" t="s">
        <v>1072</v>
      </c>
      <c r="B321" s="85" t="s">
        <v>1394</v>
      </c>
      <c r="C321" s="85">
        <v>43</v>
      </c>
      <c r="D321" s="85" t="s">
        <v>1413</v>
      </c>
      <c r="E321" s="85" t="str">
        <f t="shared" si="1"/>
        <v>Programming part 6 - Dictionaries and datafiles::43::Write success criteria for a challenging project</v>
      </c>
      <c r="F321" s="85" t="s">
        <v>960</v>
      </c>
      <c r="G321" s="85" t="s">
        <v>169</v>
      </c>
      <c r="H321" s="85" t="s">
        <v>102</v>
      </c>
    </row>
    <row r="322" spans="1:8" ht="13">
      <c r="A322" s="85" t="s">
        <v>1072</v>
      </c>
      <c r="B322" s="85" t="s">
        <v>1394</v>
      </c>
      <c r="C322" s="85">
        <v>44</v>
      </c>
      <c r="D322" s="85" t="s">
        <v>1414</v>
      </c>
      <c r="E322" s="85" t="str">
        <f t="shared" si="1"/>
        <v>Programming part 6 - Dictionaries and datafiles::44::Design the program for a challenging project using flowchart or pseudocode</v>
      </c>
      <c r="F322" s="85" t="s">
        <v>960</v>
      </c>
      <c r="G322" s="85" t="s">
        <v>172</v>
      </c>
      <c r="H322" s="85" t="s">
        <v>102</v>
      </c>
    </row>
    <row r="323" spans="1:8" ht="13">
      <c r="A323" s="85" t="s">
        <v>1072</v>
      </c>
      <c r="B323" s="85" t="s">
        <v>1394</v>
      </c>
      <c r="C323" s="85">
        <v>45</v>
      </c>
      <c r="D323" s="85" t="s">
        <v>1415</v>
      </c>
      <c r="E323" s="85" t="str">
        <f t="shared" si="1"/>
        <v>Programming part 6 - Dictionaries and datafiles::45::Create the solution for the battle boats program</v>
      </c>
      <c r="F323" s="85" t="s">
        <v>960</v>
      </c>
      <c r="G323" s="85" t="s">
        <v>20</v>
      </c>
      <c r="H323" s="85" t="s">
        <v>102</v>
      </c>
    </row>
    <row r="324" spans="1:8" ht="13">
      <c r="A324" s="85" t="s">
        <v>1072</v>
      </c>
      <c r="B324" s="85" t="s">
        <v>1394</v>
      </c>
      <c r="C324" s="85">
        <v>49</v>
      </c>
      <c r="D324" s="85" t="s">
        <v>1416</v>
      </c>
      <c r="E324" s="85" t="str">
        <f t="shared" si="1"/>
        <v>Programming part 6 - Dictionaries and datafiles::49::Perform final testing of the solution to a challenging problem</v>
      </c>
      <c r="F324" s="85" t="s">
        <v>960</v>
      </c>
      <c r="G324" s="85" t="s">
        <v>169</v>
      </c>
      <c r="H324" s="85" t="s">
        <v>102</v>
      </c>
    </row>
    <row r="325" spans="1:8" ht="13">
      <c r="A325" s="85" t="s">
        <v>1072</v>
      </c>
      <c r="B325" s="85" t="s">
        <v>1394</v>
      </c>
      <c r="C325" s="85">
        <v>50</v>
      </c>
      <c r="D325" s="85" t="s">
        <v>1417</v>
      </c>
      <c r="E325" s="85" t="str">
        <f t="shared" si="1"/>
        <v>Programming part 6 - Dictionaries and datafiles::50::Evaluate a challenging program</v>
      </c>
      <c r="F325" s="85" t="s">
        <v>960</v>
      </c>
      <c r="G325" s="85" t="s">
        <v>169</v>
      </c>
      <c r="H325" s="85"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Curriculum Map (KS2)</vt:lpstr>
      <vt:lpstr>KS2</vt:lpstr>
      <vt:lpstr>KS1 (1)</vt:lpstr>
      <vt:lpstr>KS2 (1)</vt:lpstr>
      <vt:lpstr>KS3 (1)</vt:lpstr>
      <vt:lpstr>KS4</vt:lpstr>
      <vt:lpstr>GCSE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2023-03-10T14:20:35Z</dcterms:modified>
</cp:coreProperties>
</file>