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josh.crossman/Downloads/"/>
    </mc:Choice>
  </mc:AlternateContent>
  <xr:revisionPtr revIDLastSave="0" documentId="13_ncr:1_{E9786B7B-FD6D-5045-A962-AF09426AB7B3}" xr6:coauthVersionLast="47" xr6:coauthVersionMax="47" xr10:uidLastSave="{00000000-0000-0000-0000-000000000000}"/>
  <bookViews>
    <workbookView xWindow="-37280" yWindow="-7640" windowWidth="37280" windowHeight="20600" xr2:uid="{00000000-000D-0000-FFFF-FFFF00000000}"/>
  </bookViews>
  <sheets>
    <sheet name="Curriculum Map (KS4)" sheetId="4" r:id="rId1"/>
    <sheet name="KS4 (Non GCSE)" sheetId="8" r:id="rId2"/>
    <sheet name="KS1 (1)" sheetId="11" state="hidden" r:id="rId3"/>
    <sheet name="KS2 (1)" sheetId="12" state="hidden" r:id="rId4"/>
    <sheet name="KS3 (1)" sheetId="13" state="hidden" r:id="rId5"/>
    <sheet name="KS4" sheetId="14" state="hidden" r:id="rId6"/>
    <sheet name="GCSE" sheetId="15" state="hidden" r:id="rId7"/>
  </sheets>
  <definedNames>
    <definedName name="_xlnm._FilterDatabase" localSheetId="1" hidden="1">'KS4 (Non GCSE)'!$A$2:$S$122</definedName>
  </definedNames>
  <calcPr calcId="191029"/>
  <customWorkbookViews>
    <customWorkbookView name="KS1" guid="{A599AFB7-4909-43CA-8768-CF0B44B3D0C2}"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25" i="15" l="1"/>
  <c r="E324" i="15"/>
  <c r="E323" i="15"/>
  <c r="E322" i="15"/>
  <c r="E321" i="15"/>
  <c r="E320" i="15"/>
  <c r="E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E276" i="15"/>
  <c r="E275" i="15"/>
  <c r="E274" i="15"/>
  <c r="E273" i="15"/>
  <c r="E272" i="15"/>
  <c r="E271" i="15"/>
  <c r="E270" i="15"/>
  <c r="E269" i="15"/>
  <c r="E268" i="15"/>
  <c r="E267" i="15"/>
  <c r="E266"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D2" i="14"/>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T122" i="8"/>
  <c r="L122" i="8"/>
  <c r="G122" i="8"/>
  <c r="F122" i="8"/>
  <c r="E122" i="8"/>
  <c r="D122" i="8"/>
  <c r="C122" i="8"/>
  <c r="B122" i="8"/>
  <c r="A122" i="8"/>
  <c r="T121" i="8"/>
  <c r="L121" i="8"/>
  <c r="G121" i="8"/>
  <c r="F121" i="8"/>
  <c r="E121" i="8"/>
  <c r="D121" i="8"/>
  <c r="C121" i="8"/>
  <c r="B121" i="8"/>
  <c r="A121" i="8"/>
  <c r="T120" i="8"/>
  <c r="L120" i="8"/>
  <c r="G120" i="8"/>
  <c r="F120" i="8"/>
  <c r="E120" i="8"/>
  <c r="D120" i="8"/>
  <c r="C120" i="8"/>
  <c r="B120" i="8"/>
  <c r="A120" i="8"/>
  <c r="T119" i="8"/>
  <c r="L119" i="8"/>
  <c r="G119" i="8"/>
  <c r="F119" i="8"/>
  <c r="E119" i="8"/>
  <c r="D119" i="8"/>
  <c r="C119" i="8"/>
  <c r="B119" i="8"/>
  <c r="A119" i="8"/>
  <c r="T118" i="8"/>
  <c r="L118" i="8"/>
  <c r="G118" i="8"/>
  <c r="F118" i="8"/>
  <c r="E118" i="8"/>
  <c r="D118" i="8"/>
  <c r="C118" i="8"/>
  <c r="B118" i="8"/>
  <c r="A118" i="8"/>
  <c r="T117" i="8"/>
  <c r="L117" i="8"/>
  <c r="G117" i="8"/>
  <c r="F117" i="8"/>
  <c r="E117" i="8"/>
  <c r="D117" i="8"/>
  <c r="C117" i="8"/>
  <c r="B117" i="8"/>
  <c r="A117" i="8"/>
  <c r="T116" i="8"/>
  <c r="L116" i="8"/>
  <c r="G116" i="8"/>
  <c r="F116" i="8"/>
  <c r="E116" i="8"/>
  <c r="D116" i="8"/>
  <c r="C116" i="8"/>
  <c r="B116" i="8"/>
  <c r="A116" i="8"/>
  <c r="T115" i="8"/>
  <c r="L115" i="8"/>
  <c r="G115" i="8"/>
  <c r="F115" i="8"/>
  <c r="E115" i="8"/>
  <c r="D115" i="8"/>
  <c r="C115" i="8"/>
  <c r="B115" i="8"/>
  <c r="A115" i="8"/>
  <c r="T114" i="8"/>
  <c r="L114" i="8"/>
  <c r="G114" i="8"/>
  <c r="F114" i="8"/>
  <c r="E114" i="8"/>
  <c r="D114" i="8"/>
  <c r="C114" i="8"/>
  <c r="B114" i="8"/>
  <c r="A114" i="8"/>
  <c r="T113" i="8"/>
  <c r="L113" i="8"/>
  <c r="G113" i="8"/>
  <c r="F113" i="8"/>
  <c r="E113" i="8"/>
  <c r="D113" i="8"/>
  <c r="C113" i="8"/>
  <c r="B113" i="8"/>
  <c r="A113" i="8"/>
  <c r="T112" i="8"/>
  <c r="L112" i="8"/>
  <c r="J112" i="8"/>
  <c r="G112" i="8"/>
  <c r="F112" i="8"/>
  <c r="E112" i="8"/>
  <c r="D112" i="8"/>
  <c r="C112" i="8"/>
  <c r="B112" i="8"/>
  <c r="A112" i="8"/>
  <c r="T111" i="8"/>
  <c r="L111" i="8"/>
  <c r="J111" i="8"/>
  <c r="G111" i="8"/>
  <c r="F111" i="8"/>
  <c r="E111" i="8"/>
  <c r="D111" i="8"/>
  <c r="C111" i="8"/>
  <c r="B111" i="8"/>
  <c r="A111" i="8"/>
  <c r="T110" i="8"/>
  <c r="N110" i="8"/>
  <c r="L110" i="8"/>
  <c r="G110" i="8"/>
  <c r="F110" i="8"/>
  <c r="E110" i="8"/>
  <c r="D110" i="8"/>
  <c r="C110" i="8"/>
  <c r="B110" i="8"/>
  <c r="A110" i="8"/>
  <c r="T109" i="8"/>
  <c r="N109" i="8"/>
  <c r="M109" i="8"/>
  <c r="L109" i="8"/>
  <c r="G109" i="8"/>
  <c r="F109" i="8"/>
  <c r="E109" i="8"/>
  <c r="D109" i="8"/>
  <c r="C109" i="8"/>
  <c r="B109" i="8"/>
  <c r="A109" i="8"/>
  <c r="T108" i="8"/>
  <c r="L108" i="8"/>
  <c r="G108" i="8"/>
  <c r="F108" i="8"/>
  <c r="E108" i="8"/>
  <c r="D108" i="8"/>
  <c r="C108" i="8"/>
  <c r="B108" i="8"/>
  <c r="A108" i="8"/>
  <c r="T107" i="8"/>
  <c r="N107" i="8"/>
  <c r="L107" i="8"/>
  <c r="G107" i="8"/>
  <c r="F107" i="8"/>
  <c r="E107" i="8"/>
  <c r="D107" i="8"/>
  <c r="C107" i="8"/>
  <c r="B107" i="8"/>
  <c r="A107" i="8"/>
  <c r="T106" i="8"/>
  <c r="N106" i="8"/>
  <c r="L106" i="8"/>
  <c r="G106" i="8"/>
  <c r="F106" i="8"/>
  <c r="E106" i="8"/>
  <c r="D106" i="8"/>
  <c r="C106" i="8"/>
  <c r="B106" i="8"/>
  <c r="A106" i="8"/>
  <c r="T105" i="8"/>
  <c r="L105" i="8"/>
  <c r="G105" i="8"/>
  <c r="F105" i="8"/>
  <c r="E105" i="8"/>
  <c r="D105" i="8"/>
  <c r="C105" i="8"/>
  <c r="B105" i="8"/>
  <c r="A105" i="8"/>
  <c r="T104" i="8"/>
  <c r="L104" i="8"/>
  <c r="G104" i="8"/>
  <c r="F104" i="8"/>
  <c r="E104" i="8"/>
  <c r="D104" i="8"/>
  <c r="C104" i="8"/>
  <c r="B104" i="8"/>
  <c r="A104" i="8"/>
  <c r="T103" i="8"/>
  <c r="L103" i="8"/>
  <c r="G103" i="8"/>
  <c r="F103" i="8"/>
  <c r="E103" i="8"/>
  <c r="D103" i="8"/>
  <c r="C103" i="8"/>
  <c r="B103" i="8"/>
  <c r="A103" i="8"/>
  <c r="T102" i="8"/>
  <c r="L102" i="8"/>
  <c r="G102" i="8"/>
  <c r="F102" i="8"/>
  <c r="E102" i="8"/>
  <c r="D102" i="8"/>
  <c r="C102" i="8"/>
  <c r="B102" i="8"/>
  <c r="A102" i="8"/>
  <c r="T101" i="8"/>
  <c r="L101" i="8"/>
  <c r="G101" i="8"/>
  <c r="F101" i="8"/>
  <c r="E101" i="8"/>
  <c r="D101" i="8"/>
  <c r="C101" i="8"/>
  <c r="B101" i="8"/>
  <c r="A101" i="8"/>
  <c r="T100" i="8"/>
  <c r="L100" i="8"/>
  <c r="G100" i="8"/>
  <c r="F100" i="8"/>
  <c r="E100" i="8"/>
  <c r="D100" i="8"/>
  <c r="C100" i="8"/>
  <c r="B100" i="8"/>
  <c r="A100" i="8"/>
  <c r="T99" i="8"/>
  <c r="L99" i="8"/>
  <c r="G99" i="8"/>
  <c r="F99" i="8"/>
  <c r="E99" i="8"/>
  <c r="D99" i="8"/>
  <c r="C99" i="8"/>
  <c r="B99" i="8"/>
  <c r="A99" i="8"/>
  <c r="T98" i="8"/>
  <c r="L98" i="8"/>
  <c r="G98" i="8"/>
  <c r="F98" i="8"/>
  <c r="E98" i="8"/>
  <c r="D98" i="8"/>
  <c r="C98" i="8"/>
  <c r="B98" i="8"/>
  <c r="A98" i="8"/>
  <c r="T97" i="8"/>
  <c r="L97" i="8"/>
  <c r="G97" i="8"/>
  <c r="F97" i="8"/>
  <c r="E97" i="8"/>
  <c r="D97" i="8"/>
  <c r="C97" i="8"/>
  <c r="B97" i="8"/>
  <c r="A97" i="8"/>
  <c r="T96" i="8"/>
  <c r="N96" i="8"/>
  <c r="M96" i="8"/>
  <c r="L96" i="8"/>
  <c r="G96" i="8"/>
  <c r="F96" i="8"/>
  <c r="E96" i="8"/>
  <c r="D96" i="8"/>
  <c r="C96" i="8"/>
  <c r="B96" i="8"/>
  <c r="A96" i="8"/>
  <c r="T95" i="8"/>
  <c r="L95" i="8"/>
  <c r="G95" i="8"/>
  <c r="F95" i="8"/>
  <c r="E95" i="8"/>
  <c r="D95" i="8"/>
  <c r="C95" i="8"/>
  <c r="B95" i="8"/>
  <c r="A95" i="8"/>
  <c r="T94" i="8"/>
  <c r="L94" i="8"/>
  <c r="G94" i="8"/>
  <c r="F94" i="8"/>
  <c r="E94" i="8"/>
  <c r="D94" i="8"/>
  <c r="C94" i="8"/>
  <c r="B94" i="8"/>
  <c r="A94" i="8"/>
  <c r="T93" i="8"/>
  <c r="Q93" i="8"/>
  <c r="N93" i="8"/>
  <c r="M93" i="8"/>
  <c r="G93" i="8"/>
  <c r="F93" i="8"/>
  <c r="E93" i="8"/>
  <c r="D93" i="8"/>
  <c r="C93" i="8"/>
  <c r="B93" i="8"/>
  <c r="A93" i="8"/>
  <c r="T92" i="8"/>
  <c r="Q92" i="8"/>
  <c r="N92" i="8"/>
  <c r="M92" i="8"/>
  <c r="G92" i="8"/>
  <c r="F92" i="8"/>
  <c r="E92" i="8"/>
  <c r="D92" i="8"/>
  <c r="C92" i="8"/>
  <c r="B92" i="8"/>
  <c r="A92" i="8"/>
  <c r="T91" i="8"/>
  <c r="N91" i="8"/>
  <c r="M91" i="8"/>
  <c r="G91" i="8"/>
  <c r="F91" i="8"/>
  <c r="E91" i="8"/>
  <c r="D91" i="8"/>
  <c r="C91" i="8"/>
  <c r="B91" i="8"/>
  <c r="A91" i="8"/>
  <c r="T90" i="8"/>
  <c r="N90" i="8"/>
  <c r="M90" i="8"/>
  <c r="G90" i="8"/>
  <c r="F90" i="8"/>
  <c r="E90" i="8"/>
  <c r="D90" i="8"/>
  <c r="C90" i="8"/>
  <c r="B90" i="8"/>
  <c r="A90" i="8"/>
  <c r="T89" i="8"/>
  <c r="Q89" i="8"/>
  <c r="N89" i="8"/>
  <c r="M89" i="8"/>
  <c r="G89" i="8"/>
  <c r="F89" i="8"/>
  <c r="E89" i="8"/>
  <c r="D89" i="8"/>
  <c r="C89" i="8"/>
  <c r="B89" i="8"/>
  <c r="A89" i="8"/>
  <c r="T88" i="8"/>
  <c r="Q88" i="8"/>
  <c r="N88" i="8"/>
  <c r="M88" i="8"/>
  <c r="G88" i="8"/>
  <c r="F88" i="8"/>
  <c r="E88" i="8"/>
  <c r="D88" i="8"/>
  <c r="C88" i="8"/>
  <c r="B88" i="8"/>
  <c r="A88" i="8"/>
  <c r="T87" i="8"/>
  <c r="N87" i="8"/>
  <c r="M87" i="8"/>
  <c r="G87" i="8"/>
  <c r="F87" i="8"/>
  <c r="E87" i="8"/>
  <c r="D87" i="8"/>
  <c r="C87" i="8"/>
  <c r="B87" i="8"/>
  <c r="A87" i="8"/>
  <c r="T86" i="8"/>
  <c r="N86" i="8"/>
  <c r="M86" i="8"/>
  <c r="G86" i="8"/>
  <c r="F86" i="8"/>
  <c r="E86" i="8"/>
  <c r="D86" i="8"/>
  <c r="C86" i="8"/>
  <c r="B86" i="8"/>
  <c r="A86" i="8"/>
  <c r="T85" i="8"/>
  <c r="N85" i="8"/>
  <c r="M85" i="8"/>
  <c r="G85" i="8"/>
  <c r="F85" i="8"/>
  <c r="E85" i="8"/>
  <c r="D85" i="8"/>
  <c r="C85" i="8"/>
  <c r="B85" i="8"/>
  <c r="A85" i="8"/>
  <c r="T84" i="8"/>
  <c r="Q84" i="8"/>
  <c r="N84" i="8"/>
  <c r="M84" i="8"/>
  <c r="G84" i="8"/>
  <c r="F84" i="8"/>
  <c r="E84" i="8"/>
  <c r="D84" i="8"/>
  <c r="C84" i="8"/>
  <c r="B84" i="8"/>
  <c r="A84" i="8"/>
  <c r="T83" i="8"/>
  <c r="N83" i="8"/>
  <c r="M83" i="8"/>
  <c r="G83" i="8"/>
  <c r="F83" i="8"/>
  <c r="E83" i="8"/>
  <c r="D83" i="8"/>
  <c r="C83" i="8"/>
  <c r="B83" i="8"/>
  <c r="A83" i="8"/>
  <c r="T82" i="8"/>
  <c r="N82" i="8"/>
  <c r="M82" i="8"/>
  <c r="G82" i="8"/>
  <c r="F82" i="8"/>
  <c r="E82" i="8"/>
  <c r="D82" i="8"/>
  <c r="C82" i="8"/>
  <c r="B82" i="8"/>
  <c r="A82" i="8"/>
  <c r="T81" i="8"/>
  <c r="Q81" i="8"/>
  <c r="M81" i="8"/>
  <c r="L81" i="8"/>
  <c r="K81" i="8"/>
  <c r="I81" i="8"/>
  <c r="G81" i="8"/>
  <c r="F81" i="8"/>
  <c r="E81" i="8"/>
  <c r="D81" i="8"/>
  <c r="C81" i="8"/>
  <c r="B81" i="8"/>
  <c r="A81" i="8"/>
  <c r="T80" i="8"/>
  <c r="M80" i="8"/>
  <c r="K80" i="8"/>
  <c r="G80" i="8"/>
  <c r="F80" i="8"/>
  <c r="E80" i="8"/>
  <c r="D80" i="8"/>
  <c r="C80" i="8"/>
  <c r="B80" i="8"/>
  <c r="A80" i="8"/>
  <c r="T79" i="8"/>
  <c r="Q79" i="8"/>
  <c r="M79" i="8"/>
  <c r="K79" i="8"/>
  <c r="G79" i="8"/>
  <c r="F79" i="8"/>
  <c r="E79" i="8"/>
  <c r="D79" i="8"/>
  <c r="C79" i="8"/>
  <c r="B79" i="8"/>
  <c r="A79" i="8"/>
  <c r="T78" i="8"/>
  <c r="Q78" i="8"/>
  <c r="M78" i="8"/>
  <c r="K78" i="8"/>
  <c r="G78" i="8"/>
  <c r="F78" i="8"/>
  <c r="E78" i="8"/>
  <c r="D78" i="8"/>
  <c r="C78" i="8"/>
  <c r="B78" i="8"/>
  <c r="A78" i="8"/>
  <c r="T77" i="8"/>
  <c r="Q77" i="8"/>
  <c r="L77" i="8"/>
  <c r="K77" i="8"/>
  <c r="I77" i="8"/>
  <c r="G77" i="8"/>
  <c r="F77" i="8"/>
  <c r="E77" i="8"/>
  <c r="D77" i="8"/>
  <c r="C77" i="8"/>
  <c r="B77" i="8"/>
  <c r="A77" i="8"/>
  <c r="T76" i="8"/>
  <c r="L76" i="8"/>
  <c r="G76" i="8"/>
  <c r="F76" i="8"/>
  <c r="E76" i="8"/>
  <c r="D76" i="8"/>
  <c r="C76" i="8"/>
  <c r="B76" i="8"/>
  <c r="A76" i="8"/>
  <c r="T75" i="8"/>
  <c r="Q75" i="8"/>
  <c r="L75" i="8"/>
  <c r="K75" i="8"/>
  <c r="G75" i="8"/>
  <c r="F75" i="8"/>
  <c r="E75" i="8"/>
  <c r="D75" i="8"/>
  <c r="C75" i="8"/>
  <c r="B75" i="8"/>
  <c r="A75" i="8"/>
  <c r="T74" i="8"/>
  <c r="Q74" i="8"/>
  <c r="L74" i="8"/>
  <c r="K74" i="8"/>
  <c r="G74" i="8"/>
  <c r="F74" i="8"/>
  <c r="E74" i="8"/>
  <c r="D74" i="8"/>
  <c r="C74" i="8"/>
  <c r="B74" i="8"/>
  <c r="A74" i="8"/>
  <c r="T73" i="8"/>
  <c r="K73" i="8"/>
  <c r="G73" i="8"/>
  <c r="F73" i="8"/>
  <c r="E73" i="8"/>
  <c r="D73" i="8"/>
  <c r="C73" i="8"/>
  <c r="B73" i="8"/>
  <c r="A73" i="8"/>
  <c r="T72" i="8"/>
  <c r="K72" i="8"/>
  <c r="G72" i="8"/>
  <c r="F72" i="8"/>
  <c r="E72" i="8"/>
  <c r="D72" i="8"/>
  <c r="C72" i="8"/>
  <c r="B72" i="8"/>
  <c r="A72" i="8"/>
  <c r="T71" i="8"/>
  <c r="L71" i="8"/>
  <c r="G71" i="8"/>
  <c r="F71" i="8"/>
  <c r="E71" i="8"/>
  <c r="D71" i="8"/>
  <c r="C71" i="8"/>
  <c r="B71" i="8"/>
  <c r="A71" i="8"/>
  <c r="T70" i="8"/>
  <c r="N70" i="8"/>
  <c r="L70" i="8"/>
  <c r="J70" i="8"/>
  <c r="F70" i="8"/>
  <c r="E70" i="8"/>
  <c r="D70" i="8"/>
  <c r="C70" i="8"/>
  <c r="B70" i="8"/>
  <c r="A70" i="8"/>
  <c r="T69" i="8"/>
  <c r="N69" i="8"/>
  <c r="L69" i="8"/>
  <c r="J69" i="8"/>
  <c r="F69" i="8"/>
  <c r="E69" i="8"/>
  <c r="D69" i="8"/>
  <c r="C69" i="8"/>
  <c r="B69" i="8"/>
  <c r="A69" i="8"/>
  <c r="T68" i="8"/>
  <c r="N68" i="8"/>
  <c r="L68" i="8"/>
  <c r="J68" i="8"/>
  <c r="F68" i="8"/>
  <c r="E68" i="8"/>
  <c r="D68" i="8"/>
  <c r="C68" i="8"/>
  <c r="B68" i="8"/>
  <c r="A68" i="8"/>
  <c r="T67" i="8"/>
  <c r="P67" i="8"/>
  <c r="L67" i="8"/>
  <c r="J67" i="8"/>
  <c r="F67" i="8"/>
  <c r="E67" i="8"/>
  <c r="D67" i="8"/>
  <c r="C67" i="8"/>
  <c r="B67" i="8"/>
  <c r="A67" i="8"/>
  <c r="T66" i="8"/>
  <c r="P66" i="8"/>
  <c r="J66" i="8"/>
  <c r="F66" i="8"/>
  <c r="E66" i="8"/>
  <c r="D66" i="8"/>
  <c r="C66" i="8"/>
  <c r="B66" i="8"/>
  <c r="A66" i="8"/>
  <c r="T65" i="8"/>
  <c r="P65" i="8"/>
  <c r="N65" i="8"/>
  <c r="L65" i="8"/>
  <c r="J65" i="8"/>
  <c r="F65" i="8"/>
  <c r="E65" i="8"/>
  <c r="D65" i="8"/>
  <c r="C65" i="8"/>
  <c r="B65" i="8"/>
  <c r="A65" i="8"/>
  <c r="T64" i="8"/>
  <c r="N64" i="8"/>
  <c r="J64" i="8"/>
  <c r="F64" i="8"/>
  <c r="E64" i="8"/>
  <c r="D64" i="8"/>
  <c r="C64" i="8"/>
  <c r="B64" i="8"/>
  <c r="A64" i="8"/>
  <c r="T63" i="8"/>
  <c r="J63" i="8"/>
  <c r="F63" i="8"/>
  <c r="E63" i="8"/>
  <c r="D63" i="8"/>
  <c r="C63" i="8"/>
  <c r="B63" i="8"/>
  <c r="A63" i="8"/>
  <c r="T62" i="8"/>
  <c r="J62" i="8"/>
  <c r="F62" i="8"/>
  <c r="E62" i="8"/>
  <c r="D62" i="8"/>
  <c r="C62" i="8"/>
  <c r="B62" i="8"/>
  <c r="A62" i="8"/>
  <c r="T61" i="8"/>
  <c r="N61" i="8"/>
  <c r="J61" i="8"/>
  <c r="F61" i="8"/>
  <c r="E61" i="8"/>
  <c r="D61" i="8"/>
  <c r="C61" i="8"/>
  <c r="B61" i="8"/>
  <c r="A61" i="8"/>
  <c r="T60" i="8"/>
  <c r="R60" i="8"/>
  <c r="J60" i="8"/>
  <c r="F60" i="8"/>
  <c r="E60" i="8"/>
  <c r="D60" i="8"/>
  <c r="C60" i="8"/>
  <c r="B60" i="8"/>
  <c r="A60" i="8"/>
  <c r="T59" i="8"/>
  <c r="J59" i="8"/>
  <c r="F59" i="8"/>
  <c r="E59" i="8"/>
  <c r="D59" i="8"/>
  <c r="C59" i="8"/>
  <c r="B59" i="8"/>
  <c r="A59" i="8"/>
  <c r="T58" i="8"/>
  <c r="N58" i="8"/>
  <c r="J58" i="8"/>
  <c r="F58" i="8"/>
  <c r="E58" i="8"/>
  <c r="D58" i="8"/>
  <c r="C58" i="8"/>
  <c r="B58" i="8"/>
  <c r="A58" i="8"/>
  <c r="T57" i="8"/>
  <c r="M57" i="8"/>
  <c r="J57" i="8"/>
  <c r="F57" i="8"/>
  <c r="E57" i="8"/>
  <c r="D57" i="8"/>
  <c r="C57" i="8"/>
  <c r="B57" i="8"/>
  <c r="A57" i="8"/>
  <c r="T56" i="8"/>
  <c r="L56" i="8"/>
  <c r="F56" i="8"/>
  <c r="E56" i="8"/>
  <c r="D56" i="8"/>
  <c r="C56" i="8"/>
  <c r="B56" i="8"/>
  <c r="A56" i="8"/>
  <c r="T55" i="8"/>
  <c r="L55" i="8"/>
  <c r="F55" i="8"/>
  <c r="E55" i="8"/>
  <c r="D55" i="8"/>
  <c r="C55" i="8"/>
  <c r="B55" i="8"/>
  <c r="A55" i="8"/>
  <c r="T54" i="8"/>
  <c r="N54" i="8"/>
  <c r="L54" i="8"/>
  <c r="F54" i="8"/>
  <c r="E54" i="8"/>
  <c r="D54" i="8"/>
  <c r="C54" i="8"/>
  <c r="B54" i="8"/>
  <c r="A54" i="8"/>
  <c r="T53" i="8"/>
  <c r="O53" i="8"/>
  <c r="N53" i="8"/>
  <c r="L53" i="8"/>
  <c r="F53" i="8"/>
  <c r="E53" i="8"/>
  <c r="D53" i="8"/>
  <c r="C53" i="8"/>
  <c r="B53" i="8"/>
  <c r="A53" i="8"/>
  <c r="T52" i="8"/>
  <c r="O52" i="8"/>
  <c r="N52" i="8"/>
  <c r="L52" i="8"/>
  <c r="F52" i="8"/>
  <c r="E52" i="8"/>
  <c r="D52" i="8"/>
  <c r="C52" i="8"/>
  <c r="B52" i="8"/>
  <c r="A52" i="8"/>
  <c r="T51" i="8"/>
  <c r="O51" i="8"/>
  <c r="N51" i="8"/>
  <c r="L51" i="8"/>
  <c r="F51" i="8"/>
  <c r="E51" i="8"/>
  <c r="D51" i="8"/>
  <c r="C51" i="8"/>
  <c r="B51" i="8"/>
  <c r="A51" i="8"/>
  <c r="T50" i="8"/>
  <c r="P50" i="8"/>
  <c r="F50" i="8"/>
  <c r="E50" i="8"/>
  <c r="D50" i="8"/>
  <c r="C50" i="8"/>
  <c r="B50" i="8"/>
  <c r="A50" i="8"/>
  <c r="T49" i="8"/>
  <c r="P49" i="8"/>
  <c r="F49" i="8"/>
  <c r="E49" i="8"/>
  <c r="D49" i="8"/>
  <c r="C49" i="8"/>
  <c r="B49" i="8"/>
  <c r="A49" i="8"/>
  <c r="T48" i="8"/>
  <c r="P48" i="8"/>
  <c r="F48" i="8"/>
  <c r="E48" i="8"/>
  <c r="D48" i="8"/>
  <c r="C48" i="8"/>
  <c r="B48" i="8"/>
  <c r="A48" i="8"/>
  <c r="T47" i="8"/>
  <c r="O47" i="8"/>
  <c r="N47" i="8"/>
  <c r="L47" i="8"/>
  <c r="F47" i="8"/>
  <c r="E47" i="8"/>
  <c r="D47" i="8"/>
  <c r="C47" i="8"/>
  <c r="B47" i="8"/>
  <c r="A47" i="8"/>
  <c r="T46" i="8"/>
  <c r="R46" i="8"/>
  <c r="P46" i="8"/>
  <c r="K46" i="8"/>
  <c r="F46" i="8"/>
  <c r="E46" i="8"/>
  <c r="D46" i="8"/>
  <c r="C46" i="8"/>
  <c r="B46" i="8"/>
  <c r="A46" i="8"/>
  <c r="T45" i="8"/>
  <c r="P45" i="8"/>
  <c r="K45" i="8"/>
  <c r="F45" i="8"/>
  <c r="E45" i="8"/>
  <c r="D45" i="8"/>
  <c r="C45" i="8"/>
  <c r="B45" i="8"/>
  <c r="A45" i="8"/>
  <c r="T44" i="8"/>
  <c r="O44" i="8"/>
  <c r="N44" i="8"/>
  <c r="L44" i="8"/>
  <c r="F44" i="8"/>
  <c r="E44" i="8"/>
  <c r="D44" i="8"/>
  <c r="C44" i="8"/>
  <c r="B44" i="8"/>
  <c r="A44" i="8"/>
  <c r="T43" i="8"/>
  <c r="O43" i="8"/>
  <c r="N43" i="8"/>
  <c r="L43" i="8"/>
  <c r="F43" i="8"/>
  <c r="E43" i="8"/>
  <c r="D43" i="8"/>
  <c r="C43" i="8"/>
  <c r="B43" i="8"/>
  <c r="A43" i="8"/>
  <c r="T42" i="8"/>
  <c r="O42" i="8"/>
  <c r="N42" i="8"/>
  <c r="L42" i="8"/>
  <c r="F42" i="8"/>
  <c r="E42" i="8"/>
  <c r="D42" i="8"/>
  <c r="C42" i="8"/>
  <c r="B42" i="8"/>
  <c r="A42" i="8"/>
  <c r="T41" i="8"/>
  <c r="O41" i="8"/>
  <c r="N41" i="8"/>
  <c r="L41" i="8"/>
  <c r="F41" i="8"/>
  <c r="E41" i="8"/>
  <c r="D41" i="8"/>
  <c r="C41" i="8"/>
  <c r="B41" i="8"/>
  <c r="A41" i="8"/>
  <c r="T40" i="8"/>
  <c r="O40" i="8"/>
  <c r="L40" i="8"/>
  <c r="F40" i="8"/>
  <c r="E40" i="8"/>
  <c r="D40" i="8"/>
  <c r="C40" i="8"/>
  <c r="B40" i="8"/>
  <c r="A40" i="8"/>
  <c r="T39" i="8"/>
  <c r="O39" i="8"/>
  <c r="N39" i="8"/>
  <c r="L39" i="8"/>
  <c r="F39" i="8"/>
  <c r="E39" i="8"/>
  <c r="D39" i="8"/>
  <c r="C39" i="8"/>
  <c r="B39" i="8"/>
  <c r="A39" i="8"/>
  <c r="T38" i="8"/>
  <c r="O38" i="8"/>
  <c r="L38" i="8"/>
  <c r="F38" i="8"/>
  <c r="E38" i="8"/>
  <c r="D38" i="8"/>
  <c r="C38" i="8"/>
  <c r="B38" i="8"/>
  <c r="A38" i="8"/>
  <c r="T37" i="8"/>
  <c r="O37" i="8"/>
  <c r="L37" i="8"/>
  <c r="F37" i="8"/>
  <c r="E37" i="8"/>
  <c r="D37" i="8"/>
  <c r="C37" i="8"/>
  <c r="B37" i="8"/>
  <c r="A37" i="8"/>
  <c r="T36" i="8"/>
  <c r="O36" i="8"/>
  <c r="L36" i="8"/>
  <c r="F36" i="8"/>
  <c r="E36" i="8"/>
  <c r="D36" i="8"/>
  <c r="C36" i="8"/>
  <c r="B36" i="8"/>
  <c r="A36" i="8"/>
  <c r="T35" i="8"/>
  <c r="R35" i="8"/>
  <c r="P35" i="8"/>
  <c r="O35" i="8"/>
  <c r="M35" i="8"/>
  <c r="K35" i="8"/>
  <c r="H35" i="8"/>
  <c r="E35" i="8"/>
  <c r="D35" i="8"/>
  <c r="C35" i="8"/>
  <c r="B35" i="8"/>
  <c r="A35" i="8"/>
  <c r="T34" i="8"/>
  <c r="R34" i="8"/>
  <c r="P34" i="8"/>
  <c r="O34" i="8"/>
  <c r="H34" i="8"/>
  <c r="E34" i="8"/>
  <c r="D34" i="8"/>
  <c r="C34" i="8"/>
  <c r="B34" i="8"/>
  <c r="A34" i="8"/>
  <c r="T33" i="8"/>
  <c r="R33" i="8"/>
  <c r="P33" i="8"/>
  <c r="O33" i="8"/>
  <c r="H33" i="8"/>
  <c r="E33" i="8"/>
  <c r="D33" i="8"/>
  <c r="C33" i="8"/>
  <c r="B33" i="8"/>
  <c r="A33" i="8"/>
  <c r="T32" i="8"/>
  <c r="O32" i="8"/>
  <c r="M32" i="8"/>
  <c r="H32" i="8"/>
  <c r="E32" i="8"/>
  <c r="D32" i="8"/>
  <c r="C32" i="8"/>
  <c r="B32" i="8"/>
  <c r="A32" i="8"/>
  <c r="T31" i="8"/>
  <c r="R31" i="8"/>
  <c r="O31" i="8"/>
  <c r="M31" i="8"/>
  <c r="H31" i="8"/>
  <c r="E31" i="8"/>
  <c r="D31" i="8"/>
  <c r="C31" i="8"/>
  <c r="B31" i="8"/>
  <c r="A31" i="8"/>
  <c r="T30" i="8"/>
  <c r="R30" i="8"/>
  <c r="O30" i="8"/>
  <c r="H30" i="8"/>
  <c r="E30" i="8"/>
  <c r="D30" i="8"/>
  <c r="C30" i="8"/>
  <c r="B30" i="8"/>
  <c r="A30" i="8"/>
  <c r="T29" i="8"/>
  <c r="P29" i="8"/>
  <c r="O29" i="8"/>
  <c r="K29" i="8"/>
  <c r="H29" i="8"/>
  <c r="E29" i="8"/>
  <c r="D29" i="8"/>
  <c r="C29" i="8"/>
  <c r="B29" i="8"/>
  <c r="A29" i="8"/>
  <c r="T28" i="8"/>
  <c r="R28" i="8"/>
  <c r="O28" i="8"/>
  <c r="H28" i="8"/>
  <c r="E28" i="8"/>
  <c r="D28" i="8"/>
  <c r="C28" i="8"/>
  <c r="B28" i="8"/>
  <c r="A28" i="8"/>
  <c r="T27" i="8"/>
  <c r="O27" i="8"/>
  <c r="H27" i="8"/>
  <c r="E27" i="8"/>
  <c r="D27" i="8"/>
  <c r="C27" i="8"/>
  <c r="B27" i="8"/>
  <c r="A27" i="8"/>
  <c r="T26" i="8"/>
  <c r="O26" i="8"/>
  <c r="H26" i="8"/>
  <c r="E26" i="8"/>
  <c r="D26" i="8"/>
  <c r="C26" i="8"/>
  <c r="B26" i="8"/>
  <c r="A26" i="8"/>
  <c r="T25" i="8"/>
  <c r="R25" i="8"/>
  <c r="O25" i="8"/>
  <c r="H25" i="8"/>
  <c r="E25" i="8"/>
  <c r="D25" i="8"/>
  <c r="C25" i="8"/>
  <c r="B25" i="8"/>
  <c r="A25" i="8"/>
  <c r="T24" i="8"/>
  <c r="O24" i="8"/>
  <c r="H24" i="8"/>
  <c r="E24" i="8"/>
  <c r="D24" i="8"/>
  <c r="C24" i="8"/>
  <c r="B24" i="8"/>
  <c r="A24" i="8"/>
  <c r="T23" i="8"/>
  <c r="R23" i="8"/>
  <c r="O23" i="8"/>
  <c r="H23" i="8"/>
  <c r="E23" i="8"/>
  <c r="D23" i="8"/>
  <c r="C23" i="8"/>
  <c r="B23" i="8"/>
  <c r="A23" i="8"/>
  <c r="T22" i="8"/>
  <c r="O22" i="8"/>
  <c r="H22" i="8"/>
  <c r="E22" i="8"/>
  <c r="D22" i="8"/>
  <c r="C22" i="8"/>
  <c r="B22" i="8"/>
  <c r="A22" i="8"/>
  <c r="T21" i="8"/>
  <c r="O21" i="8"/>
  <c r="H21" i="8"/>
  <c r="E21" i="8"/>
  <c r="D21" i="8"/>
  <c r="C21" i="8"/>
  <c r="B21" i="8"/>
  <c r="A21" i="8"/>
  <c r="T20" i="8"/>
  <c r="O20" i="8"/>
  <c r="H20" i="8"/>
  <c r="E20" i="8"/>
  <c r="D20" i="8"/>
  <c r="C20" i="8"/>
  <c r="B20" i="8"/>
  <c r="A20" i="8"/>
  <c r="T19" i="8"/>
  <c r="O19" i="8"/>
  <c r="H19" i="8"/>
  <c r="E19" i="8"/>
  <c r="D19" i="8"/>
  <c r="C19" i="8"/>
  <c r="B19" i="8"/>
  <c r="A19" i="8"/>
  <c r="T18" i="8"/>
  <c r="R18" i="8"/>
  <c r="H18" i="8"/>
  <c r="E18" i="8"/>
  <c r="D18" i="8"/>
  <c r="C18" i="8"/>
  <c r="B18" i="8"/>
  <c r="A18" i="8"/>
  <c r="T17" i="8"/>
  <c r="O17" i="8"/>
  <c r="M17" i="8"/>
  <c r="H17" i="8"/>
  <c r="E17" i="8"/>
  <c r="D17" i="8"/>
  <c r="C17" i="8"/>
  <c r="B17" i="8"/>
  <c r="A17" i="8"/>
  <c r="T16" i="8"/>
  <c r="R16" i="8"/>
  <c r="O16" i="8"/>
  <c r="M16" i="8"/>
  <c r="H16" i="8"/>
  <c r="E16" i="8"/>
  <c r="D16" i="8"/>
  <c r="C16" i="8"/>
  <c r="B16" i="8"/>
  <c r="A16" i="8"/>
  <c r="T15" i="8"/>
  <c r="R15" i="8"/>
  <c r="H15" i="8"/>
  <c r="E15" i="8"/>
  <c r="D15" i="8"/>
  <c r="C15" i="8"/>
  <c r="B15" i="8"/>
  <c r="A15" i="8"/>
  <c r="T14" i="8"/>
  <c r="O14" i="8"/>
  <c r="H14" i="8"/>
  <c r="E14" i="8"/>
  <c r="D14" i="8"/>
  <c r="C14" i="8"/>
  <c r="B14" i="8"/>
  <c r="A14" i="8"/>
  <c r="T13" i="8"/>
  <c r="O13" i="8"/>
  <c r="H13" i="8"/>
  <c r="E13" i="8"/>
  <c r="D13" i="8"/>
  <c r="C13" i="8"/>
  <c r="B13" i="8"/>
  <c r="A13" i="8"/>
  <c r="T12" i="8"/>
  <c r="O12" i="8"/>
  <c r="H12" i="8"/>
  <c r="E12" i="8"/>
  <c r="D12" i="8"/>
  <c r="C12" i="8"/>
  <c r="B12" i="8"/>
  <c r="A12" i="8"/>
  <c r="T11" i="8"/>
  <c r="O11" i="8"/>
  <c r="M11" i="8"/>
  <c r="H11" i="8"/>
  <c r="E11" i="8"/>
  <c r="D11" i="8"/>
  <c r="C11" i="8"/>
  <c r="B11" i="8"/>
  <c r="A11" i="8"/>
  <c r="T10" i="8"/>
  <c r="R10" i="8"/>
  <c r="O10" i="8"/>
  <c r="M10" i="8"/>
  <c r="H10" i="8"/>
  <c r="E10" i="8"/>
  <c r="D10" i="8"/>
  <c r="C10" i="8"/>
  <c r="B10" i="8"/>
  <c r="A10" i="8"/>
  <c r="T9" i="8"/>
  <c r="O9" i="8"/>
  <c r="M9" i="8"/>
  <c r="H9" i="8"/>
  <c r="E9" i="8"/>
  <c r="D9" i="8"/>
  <c r="C9" i="8"/>
  <c r="B9" i="8"/>
  <c r="A9" i="8"/>
  <c r="T8" i="8"/>
  <c r="M8" i="8"/>
  <c r="H8" i="8"/>
  <c r="E8" i="8"/>
  <c r="D8" i="8"/>
  <c r="C8" i="8"/>
  <c r="B8" i="8"/>
  <c r="A8" i="8"/>
  <c r="T7" i="8"/>
  <c r="R7" i="8"/>
  <c r="H7" i="8"/>
  <c r="E7" i="8"/>
  <c r="D7" i="8"/>
  <c r="C7" i="8"/>
  <c r="B7" i="8"/>
  <c r="A7" i="8"/>
  <c r="T6" i="8"/>
  <c r="R6" i="8"/>
  <c r="H6" i="8"/>
  <c r="E6" i="8"/>
  <c r="D6" i="8"/>
  <c r="C6" i="8"/>
  <c r="B6" i="8"/>
  <c r="A6" i="8"/>
  <c r="T5" i="8"/>
  <c r="R5" i="8"/>
  <c r="H5" i="8"/>
  <c r="E5" i="8"/>
  <c r="D5" i="8"/>
  <c r="C5" i="8"/>
  <c r="B5" i="8"/>
  <c r="A5" i="8"/>
  <c r="T4" i="8"/>
  <c r="R4" i="8"/>
  <c r="H4" i="8"/>
  <c r="E4" i="8"/>
  <c r="D4" i="8"/>
  <c r="C4" i="8"/>
  <c r="B4" i="8"/>
  <c r="A4" i="8"/>
  <c r="T3" i="8"/>
  <c r="R3" i="8"/>
  <c r="H3" i="8"/>
  <c r="E3" i="8"/>
  <c r="D3" i="8"/>
  <c r="C3" i="8"/>
  <c r="B3" i="8"/>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2" authorId="0" shapeId="0" xr:uid="{00000000-0006-0000-0700-000001000000}">
      <text>
        <r>
          <rPr>
            <sz val="10"/>
            <color rgb="FF000000"/>
            <rFont val="Arial"/>
            <family val="2"/>
            <scheme val="minor"/>
          </rPr>
          <t>@allen.heard@raspberrypi.org these objectives at KS4 are missing either NC or taxonomy tags.
_Assigned to Allen Heard_
	-James Robinson
These are all done now @james.robinson@raspberrypi.org
	-Allen Heard
Are you sure? Non-GCSE aren't complete in the backend
	-James Robinson
Ah I thought it was only GCSE and KS3 will look now
	-Allen Heard
Third time is a charm, try now
	-Allen Heard</t>
        </r>
      </text>
    </comment>
  </commentList>
</comments>
</file>

<file path=xl/sharedStrings.xml><?xml version="1.0" encoding="utf-8"?>
<sst xmlns="http://schemas.openxmlformats.org/spreadsheetml/2006/main" count="5323" uniqueCount="1413">
  <si>
    <t>Statement Number</t>
  </si>
  <si>
    <t>National Curriculum Statement</t>
  </si>
  <si>
    <t>Abbreviation</t>
  </si>
  <si>
    <t>Strand</t>
  </si>
  <si>
    <t>Description</t>
  </si>
  <si>
    <t>The Computing Curriculum Map</t>
  </si>
  <si>
    <t>NW</t>
  </si>
  <si>
    <t>Networks</t>
  </si>
  <si>
    <t>Understand how networks can be used to retrieve and share information and come with associated risks</t>
  </si>
  <si>
    <t>CM</t>
  </si>
  <si>
    <t>Creating Media</t>
  </si>
  <si>
    <t>Select and create a range of media including text, images, sounds and video.</t>
  </si>
  <si>
    <t>DI</t>
  </si>
  <si>
    <t>Data &amp; Information</t>
  </si>
  <si>
    <t>How is data stored, organised and used to represent real world artefacts and scenarios</t>
  </si>
  <si>
    <t>DD</t>
  </si>
  <si>
    <t>Design &amp; Deveopment</t>
  </si>
  <si>
    <t>The activities involved in planning, creating and evaluating computing artefacts</t>
  </si>
  <si>
    <t>CS</t>
  </si>
  <si>
    <t>Computing Systems</t>
  </si>
  <si>
    <t>What is a computer, how do it’s constituent parts function together as a whole</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</si>
  <si>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</si>
  <si>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</si>
  <si>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</si>
  <si>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</si>
  <si>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</si>
  <si>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</si>
  <si>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</si>
  <si>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</si>
  <si>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</si>
  <si>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</si>
  <si>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</si>
  <si>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</si>
  <si>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</si>
  <si>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</si>
  <si>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</si>
  <si>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</si>
  <si>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Computing systems</t>
  </si>
  <si>
    <t>develop their capability, creativity and knowledge in computer science, digital media
and information technology</t>
  </si>
  <si>
    <r>
      <rPr>
        <sz val="12"/>
        <rFont val="Roboto"/>
      </rPr>
      <t xml:space="preserve">Welcome to the </t>
    </r>
    <r>
      <rPr>
        <b/>
        <sz val="12"/>
        <rFont val="Roboto"/>
      </rPr>
      <t>The Computing Curriculum</t>
    </r>
    <r>
      <rPr>
        <sz val="12"/>
        <rFont val="Roboto"/>
      </rPr>
      <t xml:space="preserve"> Map. This document provides an overview of the units and lessons designed for students aged 14 to 16 (Key Stage 4). Additional mapping documents are available for teaching students of other ages at </t>
    </r>
    <r>
      <rPr>
        <u/>
        <sz val="12"/>
        <color rgb="FF1155CC"/>
        <rFont val="Roboto"/>
      </rPr>
      <t>the-cc.io</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are also able to explore progression within the curriculum materials as each objective is mapped to one or more of the 10 strands within our content taxonomy. For example if you want to understand how skills and concepts around networks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t>
    </r>
  </si>
  <si>
    <t>develop and apply their analytic, problem-solving, design, and computational thinking
skills</t>
  </si>
  <si>
    <t>understand how changes in technology affect safety, including new ways to protect their online privacy and identity, and how to identify and report a range of concerns.</t>
  </si>
  <si>
    <t>National Curriculum Links</t>
  </si>
  <si>
    <t>Year
Group</t>
  </si>
  <si>
    <t>Suggested Order</t>
  </si>
  <si>
    <t>Unit Name</t>
  </si>
  <si>
    <t>Lesson</t>
  </si>
  <si>
    <t>Learning Objectives</t>
  </si>
  <si>
    <t>Education for a Connected World</t>
  </si>
  <si>
    <t>- Copyright and ownership
- Health, well-being and lifestyle</t>
  </si>
  <si>
    <t>- Copyright and ownership</t>
  </si>
  <si>
    <t>- Privacy and security</t>
  </si>
  <si>
    <t>- Health, well-being and lifestyle</t>
  </si>
  <si>
    <t>- Self-image and identity</t>
  </si>
  <si>
    <t>- Copyright and ownership
- Managing online information</t>
  </si>
  <si>
    <t>- Copyright and ownership
- Self-image and identity</t>
  </si>
  <si>
    <t>- Managing online information
- Online relationships
- Online reputation
- Self-image and identity</t>
  </si>
  <si>
    <t>- Managing online information
- Online reputation</t>
  </si>
  <si>
    <t>- Copyright and ownership
- Online relationships</t>
  </si>
  <si>
    <t>- Online bullying
- Online relationships
- Privacy and security</t>
  </si>
  <si>
    <t>- Managing online information
- Online bullying
- Online relationships
- Online reputation
- Privacy and security
- Self-image and identity</t>
  </si>
  <si>
    <t>Computer systems</t>
  </si>
  <si>
    <t>- Copyright and ownership
- Privacy and security</t>
  </si>
  <si>
    <t>Cyber security</t>
  </si>
  <si>
    <t>Impacts of technology</t>
  </si>
  <si>
    <t>Databases and SQL</t>
  </si>
  <si>
    <t>HTML</t>
  </si>
  <si>
    <t>Object-oriented programming</t>
  </si>
  <si>
    <t>Cybersecurity</t>
  </si>
  <si>
    <t>level</t>
  </si>
  <si>
    <t>year_number</t>
  </si>
  <si>
    <t>title</t>
  </si>
  <si>
    <t>lesson_no</t>
  </si>
  <si>
    <t>description</t>
  </si>
  <si>
    <t>string_agg</t>
  </si>
  <si>
    <t>Computing systems and networks – Technology around us</t>
  </si>
  <si>
    <t>To identify technology</t>
  </si>
  <si>
    <t>- I can explain how these technology examples help us
- I can explain technology as something that helps us
- I can locate examples of technology in the classroom</t>
  </si>
  <si>
    <t>1.4,1.5,1.6</t>
  </si>
  <si>
    <t>CS,IT</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</si>
  <si>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</si>
  <si>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</si>
  <si>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</si>
  <si>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</si>
  <si>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CS,ET</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</si>
  <si>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</si>
  <si>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</si>
  <si>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</si>
  <si>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</si>
  <si>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</si>
  <si>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</si>
  <si>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CS,ET,SS</t>
  </si>
  <si>
    <t>Creating media – Digital painting</t>
  </si>
  <si>
    <t>To describe what different freehand tools do</t>
  </si>
  <si>
    <t>- I can draw lines on a screen and explain which tools I used
- I can make marks on a screen and explain which tools I used
- I can use the paint tools to draw a picture</t>
  </si>
  <si>
    <t>CM,ET</t>
  </si>
  <si>
    <t>-</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</si>
  <si>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</si>
  <si>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</si>
  <si>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</si>
  <si>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</si>
  <si>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</si>
  <si>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</si>
  <si>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CM,DD,ET</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</si>
  <si>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</si>
  <si>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</si>
  <si>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</si>
  <si>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</si>
  <si>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</si>
  <si>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</si>
  <si>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</si>
  <si>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1.4,1.6</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</si>
  <si>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</si>
  <si>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</si>
  <si>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</si>
  <si>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</si>
  <si>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</si>
  <si>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</si>
  <si>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</si>
  <si>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</si>
  <si>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</si>
  <si>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</si>
  <si>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</si>
  <si>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</si>
  <si>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</si>
  <si>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</si>
  <si>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</si>
  <si>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</si>
  <si>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</si>
  <si>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</si>
  <si>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</si>
  <si>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</si>
  <si>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</si>
  <si>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</si>
  <si>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</si>
  <si>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</si>
  <si>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</si>
  <si>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</si>
  <si>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1.1,1.2,1.3,1.5</t>
  </si>
  <si>
    <t>To act out a given word</t>
  </si>
  <si>
    <t>- I can follow an instruction
- I can give directions
- I can recall words that can be acted out</t>
  </si>
  <si>
    <t>AL,IT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</si>
  <si>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</si>
  <si>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</si>
  <si>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</si>
  <si>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</si>
  <si>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</si>
  <si>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</si>
  <si>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AL,DD</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</si>
  <si>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</si>
  <si>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</si>
  <si>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</si>
  <si>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</si>
  <si>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</si>
  <si>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1.1,1.2,1.3,1.4</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</si>
  <si>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</si>
  <si>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</si>
  <si>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</si>
  <si>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</si>
  <si>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</si>
  <si>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</si>
  <si>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</si>
  <si>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</si>
  <si>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DD,PG</t>
  </si>
  <si>
    <t>To use my algorithm to create a program</t>
  </si>
  <si>
    <t>- I can add programming blocks based on my algorithm
- I can test the programs I have created
- I can use sprites that match my design</t>
  </si>
  <si>
    <t>AL,DD,PG</t>
  </si>
  <si>
    <t>Computing systems and networks – IT around us</t>
  </si>
  <si>
    <t>To recognise the uses and features of information technology</t>
  </si>
  <si>
    <t>- I can describe some uses of computers
- I can identify examples of computers
- I can identify that a computer is a part of IT</t>
  </si>
  <si>
    <t>CS,NW,SS</t>
  </si>
  <si>
    <t>To identify the uses of information technology in the school</t>
  </si>
  <si>
    <t>- I can identify examples of IT
- I can identify that some IT can be used in more than one way
- I can sort school IT by what it’s used for</t>
  </si>
  <si>
    <t>CS,IT,NW</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</si>
  <si>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</si>
  <si>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</si>
  <si>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</si>
  <si>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</si>
  <si>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</si>
  <si>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</si>
  <si>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</si>
  <si>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</si>
  <si>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CS,IT,NW,SS</t>
  </si>
  <si>
    <t>Creating media – Digital photography</t>
  </si>
  <si>
    <t>To use a digital device to take a photograph</t>
  </si>
  <si>
    <t>- I can explain what I did to capture a digital photo
- I can recognise what devices can be used to take photographs
- I can talk about how to take a photograph</t>
  </si>
  <si>
    <t>CM,CS</t>
  </si>
  <si>
    <t>To make choices when taking a photograph</t>
  </si>
  <si>
    <t>- I can explain the process of taking a good photograph
- I can explain why a photo looks better in portrait or landscape format
- I can take photos in both landscape and portrait format</t>
  </si>
  <si>
    <t>CM,CS,ET</t>
  </si>
  <si>
    <t>To describe what makes a good photograph</t>
  </si>
  <si>
    <t>- I can discuss how to take a good photograph
- I can identify what is wrong with a photograph
- I can improve a photograph by retaking it</t>
  </si>
  <si>
    <t>CM,DD</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</si>
  <si>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</si>
  <si>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</si>
  <si>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</si>
  <si>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</si>
  <si>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</si>
  <si>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</si>
  <si>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</si>
  <si>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</si>
  <si>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</si>
  <si>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</si>
  <si>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</si>
  <si>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</si>
  <si>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</si>
  <si>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CM,DI</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</si>
  <si>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</si>
  <si>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</si>
  <si>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</si>
  <si>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</si>
  <si>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</si>
  <si>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</si>
  <si>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</si>
  <si>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 Health, well-being and lifestyle
- Privacy and security
- Self-image and identity</t>
  </si>
  <si>
    <t>To recognise that objects can be represented as pictures</t>
  </si>
  <si>
    <t>- I can enter data onto a computer
- I can use a computer to view data in a different format
- I can use pictograms to answer simple questions about objects</t>
  </si>
  <si>
    <t>DI,ET</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</si>
  <si>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</si>
  <si>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</si>
  <si>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</si>
  <si>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</si>
  <si>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</si>
  <si>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</si>
  <si>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</si>
  <si>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</si>
  <si>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DI,ET,SS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</si>
  <si>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</si>
  <si>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</si>
  <si>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</si>
  <si>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</si>
  <si>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</si>
  <si>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</si>
  <si>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</si>
  <si>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AL,PG</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</si>
  <si>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</si>
  <si>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</si>
  <si>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</si>
  <si>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</si>
  <si>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</si>
  <si>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</si>
  <si>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</si>
  <si>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</si>
  <si>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</si>
  <si>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1.1,1.2,1.3</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</si>
  <si>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</si>
  <si>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</si>
  <si>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</si>
  <si>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</si>
  <si>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</si>
  <si>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</si>
  <si>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</si>
  <si>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</si>
  <si>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</si>
  <si>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</si>
  <si>
    <t>Computing systems and networks – Connecting computers</t>
  </si>
  <si>
    <t>To explain how digital devices function</t>
  </si>
  <si>
    <t>- I can explain that digital devices accept inputs
- I can explain that digital devices produce outputs
- I can follow a process</t>
  </si>
  <si>
    <t>2.2,2.4,2.6</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</si>
  <si>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</si>
  <si>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</si>
  <si>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</si>
  <si>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</si>
  <si>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</si>
  <si>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</si>
  <si>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CS,NW</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</si>
  <si>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</si>
  <si>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</si>
  <si>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</si>
  <si>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</si>
  <si>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</si>
  <si>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</si>
  <si>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</si>
  <si>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2.6,2.7</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</si>
  <si>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</si>
  <si>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</si>
  <si>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</si>
  <si>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</si>
  <si>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</si>
  <si>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</si>
  <si>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</si>
  <si>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</si>
  <si>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</si>
  <si>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</si>
  <si>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</si>
  <si>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</si>
  <si>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</si>
  <si>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2.5,2.6</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</si>
  <si>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</si>
  <si>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</si>
  <si>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</si>
  <si>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</si>
  <si>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</si>
  <si>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</si>
  <si>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</si>
  <si>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</si>
  <si>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</si>
  <si>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</si>
  <si>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CM,DD,ET,IT</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</si>
  <si>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</si>
  <si>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</si>
  <si>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</si>
  <si>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</si>
  <si>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</si>
  <si>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</si>
  <si>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</si>
  <si>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</si>
  <si>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</si>
  <si>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DD,DI,ET</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</si>
  <si>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</si>
  <si>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</si>
  <si>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</si>
  <si>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</si>
  <si>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DD,DI</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</si>
  <si>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</si>
  <si>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</si>
  <si>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</si>
  <si>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2.1,2.2,2.3,2.6</t>
  </si>
  <si>
    <t>ET,PG</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</si>
  <si>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</si>
  <si>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</si>
  <si>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</si>
  <si>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</si>
  <si>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</si>
  <si>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</si>
  <si>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</si>
  <si>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</si>
  <si>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</si>
  <si>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</si>
  <si>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AL,CM,DD,PG</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</si>
  <si>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</si>
  <si>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</si>
  <si>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</si>
  <si>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</si>
  <si>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</si>
  <si>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</si>
  <si>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</si>
  <si>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</si>
  <si>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</si>
  <si>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</si>
  <si>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</si>
  <si>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</si>
  <si>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</si>
  <si>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</si>
  <si>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</si>
  <si>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</si>
  <si>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2.4,2.5,2.6,2.7</t>
  </si>
  <si>
    <t>NW,SS</t>
  </si>
  <si>
    <t>- Managing online information</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</si>
  <si>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</si>
  <si>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</si>
  <si>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</si>
  <si>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</si>
  <si>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</si>
  <si>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</si>
  <si>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CM,NW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</si>
  <si>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</si>
  <si>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</si>
  <si>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</si>
  <si>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</si>
  <si>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IT,NW,SS</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</si>
  <si>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</si>
  <si>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</si>
  <si>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</si>
  <si>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2.5,2.6,2.7</t>
  </si>
  <si>
    <t>CS,DI</t>
  </si>
  <si>
    <t>To use a digital device to record sound</t>
  </si>
  <si>
    <t>- I can discuss what other people include when recording sound for a podcast
- I can suggest how to improve my recording
- I can use a device to record audio and play back sound</t>
  </si>
  <si>
    <t>CM,CS,DD,ET</t>
  </si>
  <si>
    <t>To explain that a digital recording is stored as a file</t>
  </si>
  <si>
    <t>- I can discuss why it is useful to be able to save digital recordings
- I can plan and write the content for a podcast
- I can save a digital recording as a file</t>
  </si>
  <si>
    <t>CM,DD,DI,ET</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</si>
  <si>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</si>
  <si>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</si>
  <si>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</si>
  <si>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</si>
  <si>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</si>
  <si>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</si>
  <si>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</si>
  <si>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</si>
  <si>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</si>
  <si>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</si>
  <si>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</si>
  <si>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CM,ET,IT</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</si>
  <si>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</si>
  <si>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</si>
  <si>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</si>
  <si>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</si>
  <si>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</si>
  <si>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</si>
  <si>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CM,ET,SS</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</si>
  <si>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</si>
  <si>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</si>
  <si>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</si>
  <si>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</si>
  <si>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</si>
  <si>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2.2,2.6</t>
  </si>
  <si>
    <t>To use a digital device to collect data automatically</t>
  </si>
  <si>
    <t>- I can explain that sensors are input devices
- I can identify that data from sensors can be recorded
- I can use data from a sensor to answer a given question</t>
  </si>
  <si>
    <t>CS,DI,ET</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</si>
  <si>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</si>
  <si>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</si>
  <si>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</si>
  <si>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</si>
  <si>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</si>
  <si>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</si>
  <si>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</si>
  <si>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</si>
  <si>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</si>
  <si>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</si>
  <si>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</si>
  <si>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</si>
  <si>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</si>
  <si>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</si>
  <si>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</si>
  <si>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</si>
  <si>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</si>
  <si>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</si>
  <si>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</si>
  <si>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</si>
  <si>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</si>
  <si>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</si>
  <si>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</si>
  <si>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</si>
  <si>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2.1,2.2,2.3</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</si>
  <si>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</si>
  <si>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</si>
  <si>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</si>
  <si>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</si>
  <si>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</si>
  <si>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</si>
  <si>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</si>
  <si>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</si>
  <si>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</si>
  <si>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</si>
  <si>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</si>
  <si>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</si>
  <si>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</si>
  <si>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2.1,2.2,2.4,2.6,2.7</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</si>
  <si>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</si>
  <si>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</si>
  <si>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</si>
  <si>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</si>
  <si>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</si>
  <si>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</si>
  <si>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IT,NW</t>
  </si>
  <si>
    <t>To contribute to a shared project online</t>
  </si>
  <si>
    <t>- I can compare working online with working offline
- I can make thoughtful suggestions on my group’s work
- I can suggest strategies to ensure successful group work</t>
  </si>
  <si>
    <t>ET,NW</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</si>
  <si>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</si>
  <si>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</si>
  <si>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DD,ET,NW</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</si>
  <si>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</si>
  <si>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</si>
  <si>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</si>
  <si>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CM,DI,ET</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</si>
  <si>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</si>
  <si>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</si>
  <si>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</si>
  <si>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</si>
  <si>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</si>
  <si>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</si>
  <si>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</si>
  <si>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</si>
  <si>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</si>
  <si>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</si>
  <si>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</si>
  <si>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</si>
  <si>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</si>
  <si>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</si>
  <si>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</si>
  <si>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</si>
  <si>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</si>
  <si>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CM,SS</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</si>
  <si>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</si>
  <si>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</si>
  <si>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</si>
  <si>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</si>
  <si>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</si>
  <si>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</si>
  <si>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</si>
  <si>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</si>
  <si>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</si>
  <si>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</si>
  <si>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</si>
  <si>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</si>
  <si>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</si>
  <si>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</si>
  <si>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</si>
  <si>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</si>
  <si>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</si>
  <si>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</si>
  <si>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</si>
  <si>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</si>
  <si>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</si>
  <si>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</si>
  <si>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CS,PG</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</si>
  <si>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</si>
  <si>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</si>
  <si>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</si>
  <si>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</si>
  <si>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</si>
  <si>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</si>
  <si>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</si>
  <si>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</si>
  <si>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CS,DD,PG</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</si>
  <si>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</si>
  <si>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</si>
  <si>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</si>
  <si>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</si>
  <si>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</si>
  <si>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</si>
  <si>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</si>
  <si>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</si>
  <si>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</si>
  <si>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</si>
  <si>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</si>
  <si>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</si>
  <si>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</si>
  <si>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</si>
  <si>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</si>
  <si>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</si>
  <si>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</si>
  <si>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</si>
  <si>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2.1,2.4,2.5,2.6,2.7</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</si>
  <si>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</si>
  <si>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</si>
  <si>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</si>
  <si>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</si>
  <si>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</si>
  <si>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</si>
  <si>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ET,IT,NW</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</si>
  <si>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</si>
  <si>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</si>
  <si>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</si>
  <si>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</si>
  <si>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</si>
  <si>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</si>
  <si>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</si>
  <si>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</si>
  <si>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</si>
  <si>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</si>
  <si>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</si>
  <si>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</si>
  <si>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</si>
  <si>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</si>
  <si>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</si>
  <si>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</si>
  <si>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</si>
  <si>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</si>
  <si>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</si>
  <si>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</si>
  <si>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CM,DD,NW</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</si>
  <si>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</si>
  <si>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</si>
  <si>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</si>
  <si>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</si>
  <si>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CM,DD,SS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</si>
  <si>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</si>
  <si>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</si>
  <si>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</si>
  <si>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</si>
  <si>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CM,DD,ET,NW</t>
  </si>
  <si>
    <t>To recognise the implications of linking to content owned by other people</t>
  </si>
  <si>
    <t>- I can create hyperlinks to link to other people's work
- I can evaluate the user experience of a website
- I can explain the implication of linking to content owned by others</t>
  </si>
  <si>
    <t>CM,DD,ET,IT,NW</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</si>
  <si>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</si>
  <si>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</si>
  <si>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</si>
  <si>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</si>
  <si>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</si>
  <si>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</si>
  <si>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</si>
  <si>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DI,ET,PG</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</si>
  <si>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</si>
  <si>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</si>
  <si>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</si>
  <si>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</si>
  <si>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</si>
  <si>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</si>
  <si>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</si>
  <si>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</si>
  <si>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</si>
  <si>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</si>
  <si>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</si>
  <si>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</si>
  <si>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</si>
  <si>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</si>
  <si>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</si>
  <si>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</si>
  <si>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</si>
  <si>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</si>
  <si>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</si>
  <si>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</si>
  <si>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</si>
  <si>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</si>
  <si>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</si>
  <si>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</si>
  <si>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</si>
  <si>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</si>
  <si>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</si>
  <si>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</si>
  <si>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</si>
  <si>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</si>
  <si>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</si>
  <si>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</si>
  <si>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Impact of technology – Collaborating online respectfully</t>
  </si>
  <si>
    <t>- Create a memorable and secure password for an account on the school network</t>
  </si>
  <si>
    <t>3.8,3.9</t>
  </si>
  <si>
    <t>ET,SS</t>
  </si>
  <si>
    <t>- Remember the rules of the computing lab</t>
  </si>
  <si>
    <t>- Find personal documents and common applications</t>
  </si>
  <si>
    <t>- Recognise a respectful email</t>
  </si>
  <si>
    <t>- Construct an effective email and send it to the correct recipients</t>
  </si>
  <si>
    <t>- Describe how to communicate with peers online</t>
  </si>
  <si>
    <t>- Plan effective presentations for a given audience</t>
  </si>
  <si>
    <t>- Describe cyberbullying</t>
  </si>
  <si>
    <t>IT,SS</t>
  </si>
  <si>
    <t>- Explain the effects of cyberbullying</t>
  </si>
  <si>
    <t>- Check who you are talking to online</t>
  </si>
  <si>
    <t>Modelling data – Spreadsheets</t>
  </si>
  <si>
    <t>- Identify columns, rows, cells, and cell references in spreadsheet software</t>
  </si>
  <si>
    <t>3.1,3.7</t>
  </si>
  <si>
    <t>- Use formatting techniques in a spreadsheet</t>
  </si>
  <si>
    <t>- Use basic formulas with cell references to perform calculations in a spreadsheet (+, -, *, /)</t>
  </si>
  <si>
    <t>- Use the autofill tool to replicate cell data</t>
  </si>
  <si>
    <t>- Explain the difference between data and information</t>
  </si>
  <si>
    <t>- Explain the difference between primary and secondary sources of data</t>
  </si>
  <si>
    <t>- Collect data</t>
  </si>
  <si>
    <t>- Analyse data</t>
  </si>
  <si>
    <t>- Create appropriate charts in a spreadsheet</t>
  </si>
  <si>
    <t>- Use the functions SUM, COUNTA, MAX, and MIN in a spreadsheet</t>
  </si>
  <si>
    <t>- Use a spreadsheet to sort and filter data</t>
  </si>
  <si>
    <t>- Use the functions AVERAGE, COUNTIF, and IF in a spreadsheet</t>
  </si>
  <si>
    <t>- Use conditional formatting in a spreadsheet</t>
  </si>
  <si>
    <t>- Apply all of the spreadsheet skills covered in this unit</t>
  </si>
  <si>
    <t>Networks from semaphores to the Internet</t>
  </si>
  <si>
    <t>- Define what a computer network is and explain how data is transmitted between computers across networks</t>
  </si>
  <si>
    <t>- Define ‘protocol’ and provide examples of non-networking protocols</t>
  </si>
  <si>
    <t>- List examples of the hardware necessary for connecting devices to networks</t>
  </si>
  <si>
    <t>- Compare wired to wireless connections and list examples of specific technologies currently used to implement such connections</t>
  </si>
  <si>
    <t>- Define ‘bandwidth’, using the appropriate units for measuring the rate at which data is transmitted, and discuss familiar examples where bandwidth is important</t>
  </si>
  <si>
    <t>- Define what the internet is</t>
  </si>
  <si>
    <t>- Explain how data travels between computers across the internet</t>
  </si>
  <si>
    <t>- Describe key words such as ‘protocols’, ‘packets’, and ‘addressing’</t>
  </si>
  <si>
    <t>- Explain the difference between the internet, its services, and the World Wide Web</t>
  </si>
  <si>
    <t>- Describe how services are provided over the internet</t>
  </si>
  <si>
    <t>- List some of these services and the context in which they are used</t>
  </si>
  <si>
    <t>- Explain the term ‘connectivity’ as the capacity for connected devices (‘Internet of Things’) to collect and share information about me with or without my knowledge (including microphones, cameras, and geolocation)</t>
  </si>
  <si>
    <t>- Describe how internet-connected devices can affect me</t>
  </si>
  <si>
    <t>- Describe components (servers, browsers, pages, HTTP and HTTPS protocols, etc.) and how they work together</t>
  </si>
  <si>
    <t>Programming essentials in Scratch – part I</t>
  </si>
  <si>
    <t>- Compare how humans and computers understand instructions (understand and carry out)</t>
  </si>
  <si>
    <t>3.2,3.3,3.4,3.8</t>
  </si>
  <si>
    <t>- Define a sequence as instructions performed in order, with each executed in turn</t>
  </si>
  <si>
    <t>- Predict the outcome of a simple sequence</t>
  </si>
  <si>
    <t>- Modify a sequence</t>
  </si>
  <si>
    <t>- Define a variable as a name that refers to data being stored by the computer</t>
  </si>
  <si>
    <t>- Recognise that computers follow the control flow of input/process/output</t>
  </si>
  <si>
    <t>- Predict the outcome of a simple sequence that includes variables</t>
  </si>
  <si>
    <t>- Trace the values of variables within a sequence</t>
  </si>
  <si>
    <t>- Make a sequence that includes a variable</t>
  </si>
  <si>
    <t>- Define a condition as an expression that will be evaluated as either true or false</t>
  </si>
  <si>
    <t>- Identify that selection uses conditions to control the flow of a sequence</t>
  </si>
  <si>
    <t>- Identify where selection statements can be used in a program</t>
  </si>
  <si>
    <t>- Modify a program to include selection</t>
  </si>
  <si>
    <t>- Create conditions that use comparison operators (&gt;,&lt;,=)</t>
  </si>
  <si>
    <t>- Create conditions that use logic operators (and/or/not)</t>
  </si>
  <si>
    <t>- Identify where selection statements can be used in a program that include comparison and logical operators</t>
  </si>
  <si>
    <t>- Define iteration as a group of instructions that are repeatedly executed</t>
  </si>
  <si>
    <t>- Describe the need for iteration</t>
  </si>
  <si>
    <t>- Identify where count-controlled iteration can be used in a program</t>
  </si>
  <si>
    <t>- Implement count-controlled iteration in a program</t>
  </si>
  <si>
    <t>- Detect and correct errors in a program (debugging)</t>
  </si>
  <si>
    <t>- Independently design and apply programming constructs to solve a problem (subroutine, selection, count-controlled iteration, operators, and variables)</t>
  </si>
  <si>
    <t>Programming essentials in Scratch – part II</t>
  </si>
  <si>
    <t>- Define a subroutine as a group of instructions that will run when called by the main program or other subroutines</t>
  </si>
  <si>
    <t>- Define decomposition as breaking a problem down into smaller, more manageable subproblems</t>
  </si>
  <si>
    <t>- Identify how subroutines can be used for decomposition</t>
  </si>
  <si>
    <t>- Identify where condition-controlled iteration can be used in a program</t>
  </si>
  <si>
    <t>- Implement condition-controlled iteration in a program</t>
  </si>
  <si>
    <t>- Evaluate which type of iteration is required in a program</t>
  </si>
  <si>
    <t>- Define a list as a collection of related elements that are referred to by a single name</t>
  </si>
  <si>
    <t>- Describe the need for lists</t>
  </si>
  <si>
    <t>- Identify when lists can be used in a program</t>
  </si>
  <si>
    <t>- Use a list</t>
  </si>
  <si>
    <t>- Decompose a larger problem into smaller subproblems</t>
  </si>
  <si>
    <t>- Apply appropriate constructs to solve a problem</t>
  </si>
  <si>
    <t>Using media – Gaining support for a cause</t>
  </si>
  <si>
    <t>- Select the most appropriate software to use to complete a task</t>
  </si>
  <si>
    <t>3.7,3.8</t>
  </si>
  <si>
    <t>- Identify the key features of a word processor</t>
  </si>
  <si>
    <t>- Apply the key features of a word processor to format a document</t>
  </si>
  <si>
    <t>- Evaluate formatting techniques to understand why we format documents</t>
  </si>
  <si>
    <t>DD,ET</t>
  </si>
  <si>
    <t>- Select appropriate images for a given context</t>
  </si>
  <si>
    <t>- Apply appropriate formatting techniques</t>
  </si>
  <si>
    <t>- Demonstrate an understanding of licensing issues involving online content by applying appropriate Creative Commons licences</t>
  </si>
  <si>
    <t>- Demonstrate the ability to credit the original source of an image</t>
  </si>
  <si>
    <t>- Critique digital content for credibility</t>
  </si>
  <si>
    <t>- Apply techniques in order to identify whether or not a source is credible</t>
  </si>
  <si>
    <t>- Apply referencing techniques and understand the concept of plagiarism</t>
  </si>
  <si>
    <t>- Evaluate online sources for use in own work</t>
  </si>
  <si>
    <t>CM,IT</t>
  </si>
  <si>
    <t>- Construct a blog using appropriate software</t>
  </si>
  <si>
    <t>- Organise the content of the blog based on credible sources</t>
  </si>
  <si>
    <t>- Apply referencing techniques that credit authors appropriately</t>
  </si>
  <si>
    <t>- Design the layout of the content to make it suitable for the audience</t>
  </si>
  <si>
    <t>- Organise the content of blog based on credible sources</t>
  </si>
  <si>
    <t>- Recall that a general-purpose computing system is a device for executing programs</t>
  </si>
  <si>
    <t>3.4,3.5,3.6</t>
  </si>
  <si>
    <t>- Recall that a program is a sequence of instructions that specify operations that are to be performed on data</t>
  </si>
  <si>
    <t>- Explain the difference between a general-purpose computing system and a purpose-built device</t>
  </si>
  <si>
    <t>- Describe the function of the hardware components used in computing systems</t>
  </si>
  <si>
    <t>- Describe how the hardware components used in computing systems work together in order to execute programs</t>
  </si>
  <si>
    <t>- Recall that all computing systems, regardless of form, have a similar structure (‘architecture’)</t>
  </si>
  <si>
    <t>- Analyse how the hardware components used in computing systems work together in order to execute programs</t>
  </si>
  <si>
    <t>- Define what an operating system is, and recall its role in controlling program execution</t>
  </si>
  <si>
    <t>- Describe the NOT, AND, and OR logical operators, and how they are used to form logical expressions</t>
  </si>
  <si>
    <t>- Use logic gates to construct logic circuits, and associate these with logical operators and expressions</t>
  </si>
  <si>
    <t>- Describe how hardware is built out of increasingly complex logic circuits</t>
  </si>
  <si>
    <t>- Recall that, since hardware is built out of logic circuits, data and instructions alike need to be represented using binary digits</t>
  </si>
  <si>
    <t>CS,DI,PG</t>
  </si>
  <si>
    <t>- Provide broad definitions of ‘artificial intelligence’ and ‘machine learning’</t>
  </si>
  <si>
    <t>- Identify examples of artificial intelligence and machine learning in the real world</t>
  </si>
  <si>
    <t>- Describe the steps involved in training machines to perform tasks (gathering data, training, testing)</t>
  </si>
  <si>
    <t>- Describe how machine learning differs from traditional programming</t>
  </si>
  <si>
    <t>- Associate the use of artificial intelligence with moral dilemmas</t>
  </si>
  <si>
    <t>- Explain the implications of sharing program code</t>
  </si>
  <si>
    <t>IT,PG</t>
  </si>
  <si>
    <t>Developing for the web</t>
  </si>
  <si>
    <t>- Describe what HTML is</t>
  </si>
  <si>
    <t>- Use HTML to structure static web pages</t>
  </si>
  <si>
    <t>CM,PG</t>
  </si>
  <si>
    <t>- Modify HTML tags using inline styling to improve the appearance of web pages</t>
  </si>
  <si>
    <t>CM,DD,PG</t>
  </si>
  <si>
    <t>- Display images within a web page</t>
  </si>
  <si>
    <t>- Apply HTML tags to construct a web page structure from a provided design</t>
  </si>
  <si>
    <t>- Describe what CSS is</t>
  </si>
  <si>
    <t>- Use CSS to style static web pages</t>
  </si>
  <si>
    <t>- Assess the benefits of using CSS to style pages instead of in-line formatting</t>
  </si>
  <si>
    <t>CM,ET,PG</t>
  </si>
  <si>
    <t>- Describe what a search engine is</t>
  </si>
  <si>
    <t>- Explain how search engines ‘crawl’ through the World Wide Web and how they select and rank results</t>
  </si>
  <si>
    <t>AL,CS,NW</t>
  </si>
  <si>
    <t>- Analyse how search engines select and rank results when searches are made</t>
  </si>
  <si>
    <t>AL,NW</t>
  </si>
  <si>
    <t>- Use search technologies effectively</t>
  </si>
  <si>
    <t>- Discuss the impact of search technologies and the issues that arise by the way they function and the way they are used</t>
  </si>
  <si>
    <t>ET,NW,SS</t>
  </si>
  <si>
    <t>- Create hyperlinks to allow users to navigate between multiple web pages</t>
  </si>
  <si>
    <t>- Implement navigation to complete a functioning website</t>
  </si>
  <si>
    <t>- Complete summative assessment</t>
  </si>
  <si>
    <t>DI,ET,IT</t>
  </si>
  <si>
    <t>Introduction to Python programming</t>
  </si>
  <si>
    <t>- Describe what algorithms and programs are and how they differ</t>
  </si>
  <si>
    <t>3.1,3.2,3.3,3.6</t>
  </si>
  <si>
    <t>- Recall that a program written in a programming language needs to be translated in order to be executed by a machine</t>
  </si>
  <si>
    <t>- Write simple Python programs that display messages, assign values to variables, and receive keyboard input</t>
  </si>
  <si>
    <t>- Locate and correct common syntax errors</t>
  </si>
  <si>
    <t>- Describe the semantics of assignment statements</t>
  </si>
  <si>
    <t>- Use simple arithmetic expressions in assignment statements to calculate values</t>
  </si>
  <si>
    <t>- Receive input from the keyboard and convert it to a numerical value</t>
  </si>
  <si>
    <t>- Use relational operators to form logical expressions</t>
  </si>
  <si>
    <t>- Use binary selection (if, else statements) to control the flow of program execution</t>
  </si>
  <si>
    <t>- Generate and use random integers</t>
  </si>
  <si>
    <t>- Use multi-branch selection (if, elif, else statements) to control the flow of program execution</t>
  </si>
  <si>
    <t>- Describe how iteration (while statements) controls the flow of program execution</t>
  </si>
  <si>
    <t>- Use iteration (while loops) to control the flow of program execution</t>
  </si>
  <si>
    <t>- Use variables as counters in iterative programs</t>
  </si>
  <si>
    <t>- Combine iteration and selection to control the flow of program execution</t>
  </si>
  <si>
    <t>- Use Boolean variables as flags</t>
  </si>
  <si>
    <t>Media – Vector graphics</t>
  </si>
  <si>
    <t>- Draw basic shapes (rectangle, ellipse, polygon, star) with different properties (fill and stroke, shape-specific attributes)</t>
  </si>
  <si>
    <t>- Manipulate individual objects (select, move, resize, rotate, duplicate, flip, z-order)</t>
  </si>
  <si>
    <t>- Manipulate groups of objects (select, group/ungroup, align, distribute)</t>
  </si>
  <si>
    <t>- Combine paths by applying operations (union, difference, intersection)</t>
  </si>
  <si>
    <t>- Convert objects to paths</t>
  </si>
  <si>
    <t>- Draw paths</t>
  </si>
  <si>
    <t>- Edit path nodes</t>
  </si>
  <si>
    <t>- Combine multiple tools and techniques to create a vector graphic design</t>
  </si>
  <si>
    <t>- Explain what vector graphics are</t>
  </si>
  <si>
    <t>- Provide examples where using vector graphics would be appropriate</t>
  </si>
  <si>
    <t>- Peer assess another pair’s project work</t>
  </si>
  <si>
    <t>- Improve your own project work based on feedback</t>
  </si>
  <si>
    <t>- Complete a summative assessment</t>
  </si>
  <si>
    <t>Mobile app development</t>
  </si>
  <si>
    <t>- Identify when a problem needs to be broken down</t>
  </si>
  <si>
    <t>3.1,3.2,3.3,3.8</t>
  </si>
  <si>
    <t>- Implement and customise GUI elements to meet the needs of the user</t>
  </si>
  <si>
    <t>DD,ET,PG</t>
  </si>
  <si>
    <t>- Recognise that events can control the flow of a program</t>
  </si>
  <si>
    <t>- Use user input in an event-driven programming environment</t>
  </si>
  <si>
    <t>- Use variables in an event-driven programming environment</t>
  </si>
  <si>
    <t>- Develop a partially complete application to include additional functionality</t>
  </si>
  <si>
    <t>- Identify and fix common coding errors</t>
  </si>
  <si>
    <t>- Pass the value of a variable into an object</t>
  </si>
  <si>
    <t>- Establish user needs when completing a creative project</t>
  </si>
  <si>
    <t>- Apply decomposition to break down a large problem into more manageable steps</t>
  </si>
  <si>
    <t>- Use user input in a block-based programming language</t>
  </si>
  <si>
    <t>- Use a block-based programming language to create a sequence</t>
  </si>
  <si>
    <t>- Use variables in a block-based programming language</t>
  </si>
  <si>
    <t>- Use a block-based programming language to include sequencing and selection</t>
  </si>
  <si>
    <t>- Reflect and react to user feedback</t>
  </si>
  <si>
    <t>- Evaluate the success of the programming project</t>
  </si>
  <si>
    <t>Representations – from clay to silicon</t>
  </si>
  <si>
    <t>- List examples of representations</t>
  </si>
  <si>
    <t>- Recall that representations are used to store, communicate, and process information</t>
  </si>
  <si>
    <t>- Provide examples of how different representations are appropriate for different tasks</t>
  </si>
  <si>
    <t>- Recall that characters can be represented as sequences of symbols and list examples of character coding schemes</t>
  </si>
  <si>
    <t>- Measure the length of a representation as the number of symbols that it contains</t>
  </si>
  <si>
    <t>- Provide examples of how symbols are carried on physical media</t>
  </si>
  <si>
    <t>- Explain what binary digits (bits) are, in terms of familiar symbols such as digits or letters</t>
  </si>
  <si>
    <t>- Measure the size or length of a sequence of bits as the number of binary digits that it contains</t>
  </si>
  <si>
    <t>- Describe how natural numbers are represented as sequences of binary digits</t>
  </si>
  <si>
    <t>- Convert a decimal number to binary and vice versa</t>
  </si>
  <si>
    <t>- Convert between different units and multiples of representation size</t>
  </si>
  <si>
    <t>- Provide examples of the different ways that binary digits are physically represented in digital devices</t>
  </si>
  <si>
    <t>- Apply all of the skills covered in this unit</t>
  </si>
  <si>
    <t>- Managing online information
- Privacy and security</t>
  </si>
  <si>
    <t>- Critique online services in relation to data privacy</t>
  </si>
  <si>
    <t>DD,SS</t>
  </si>
  <si>
    <t>- Identify what happens to data entered online</t>
  </si>
  <si>
    <t>DI,NW,SS</t>
  </si>
  <si>
    <t>- Explain the need for the Data Protection Act</t>
  </si>
  <si>
    <t>DI,IT,SS</t>
  </si>
  <si>
    <t>- Recognise how human errors pose security risks to data</t>
  </si>
  <si>
    <t>DI,SS</t>
  </si>
  <si>
    <t>- Implement strategies to minimise the risk of data being compromised through human error</t>
  </si>
  <si>
    <t>- Define hacking in the context of cyber security</t>
  </si>
  <si>
    <t>IT,PG,SS</t>
  </si>
  <si>
    <t>- Explain how a DDoS attack can impact users of online services</t>
  </si>
  <si>
    <t>- Identify strategies to reduce the chance of a brute force attack being successful</t>
  </si>
  <si>
    <t>NW,PG,SS</t>
  </si>
  <si>
    <t>- Explain the need for the Computer Misuse Act</t>
  </si>
  <si>
    <t>- List the common malware threats</t>
  </si>
  <si>
    <t>CS,IT,SS</t>
  </si>
  <si>
    <t>- Examine how different types of malware causes problems for computer systems</t>
  </si>
  <si>
    <t>- Question how malicious bots can have an impact on societal issues</t>
  </si>
  <si>
    <t>- Compare security threats against probability and the potential impact to organisations</t>
  </si>
  <si>
    <t>- Explain how networks can be protected from common security threats</t>
  </si>
  <si>
    <t>- Identify the most effective methods to prevent cyberattacks</t>
  </si>
  <si>
    <t>Data science</t>
  </si>
  <si>
    <t>- Define data science</t>
  </si>
  <si>
    <t>- Explain how visualising data can help identify patterns and trends in order to help us gain insights</t>
  </si>
  <si>
    <t>- Use an appropriate software tool to visualise data sets and look for patterns or trends</t>
  </si>
  <si>
    <t>- Recognise examples of where large data sets are used in daily life</t>
  </si>
  <si>
    <t>DI,IT</t>
  </si>
  <si>
    <t>- Select criteria and use data set to investigate predictions</t>
  </si>
  <si>
    <t>- Evaluate findings to support arguments for or against a prediction</t>
  </si>
  <si>
    <t>- Define the terms ‘correlation’ and ‘outliers’ in relation to data trends</t>
  </si>
  <si>
    <t>- Identify the steps of the investigative cycle</t>
  </si>
  <si>
    <t>- Solve a problem by implementing steps of the investigative cycle on a data set</t>
  </si>
  <si>
    <t>- Use findings to support a recommendation</t>
  </si>
  <si>
    <t>- Identify the data needed to answer a question defined by the learner</t>
  </si>
  <si>
    <t>- Create a data capture form</t>
  </si>
  <si>
    <t>- Describe the need for data cleansing</t>
  </si>
  <si>
    <t>- Apply data cleansing techniques to a data set</t>
  </si>
  <si>
    <t>- Visualise a data set</t>
  </si>
  <si>
    <t>- Analyse visualisations to identify patterns, trends, and outliers</t>
  </si>
  <si>
    <t>- Draw conclusions and report findings</t>
  </si>
  <si>
    <t>Media – Animations</t>
  </si>
  <si>
    <t>- Add, delete, and move objects</t>
  </si>
  <si>
    <t>- Scale and rotate objects</t>
  </si>
  <si>
    <t>- Use a material to add colour to objects</t>
  </si>
  <si>
    <t>- Add, move, and delete keyframes to make basic animations</t>
  </si>
  <si>
    <t>- Play, pause, and move through the animation using the timeline</t>
  </si>
  <si>
    <t>- Create useful names for objects</t>
  </si>
  <si>
    <t>- Join multiple objects together using parenting</t>
  </si>
  <si>
    <t>- Use edit mode and extrude</t>
  </si>
  <si>
    <t>- Use loop cut and face editing</t>
  </si>
  <si>
    <t>- Apply different colours to different parts of the same model</t>
  </si>
  <si>
    <t>- Use proportional editing</t>
  </si>
  <si>
    <t>- Use the knife tool</t>
  </si>
  <si>
    <t>- Use subdivision</t>
  </si>
  <si>
    <t>- Add and edit set lighting</t>
  </si>
  <si>
    <t>- Set up the camera</t>
  </si>
  <si>
    <t>- Compare different render modes</t>
  </si>
  <si>
    <t>- Create a 3–10 second animation</t>
  </si>
  <si>
    <t>- Render out the animation</t>
  </si>
  <si>
    <t>Physical computing</t>
  </si>
  <si>
    <t>- Describe what the micro:bit is</t>
  </si>
  <si>
    <t>- List the micro:bit’s input and output devices</t>
  </si>
  <si>
    <t>- Use a development environment to write, execute, and debug a Python program for the micro:bit</t>
  </si>
  <si>
    <t>AL,CS,ET,PG</t>
  </si>
  <si>
    <t>- Write programs that use the micro:bit’s built-in input and output devices</t>
  </si>
  <si>
    <t>AL,CS,PG</t>
  </si>
  <si>
    <t>- Write programs that use GPIO pins to generate output and receive input</t>
  </si>
  <si>
    <t>- Write programs that communicate with other devices by sending and receiving messages wirelessly</t>
  </si>
  <si>
    <t>AL,CS,NW,PG</t>
  </si>
  <si>
    <t>- Design a physical computing artifact purposefully, keeping in mind the problem at hand, the needs of the audience involved, and the available resources</t>
  </si>
  <si>
    <t>CS,DD</t>
  </si>
  <si>
    <t>- Decompose the functionality of a physical computing system into simpler features</t>
  </si>
  <si>
    <t>- Implement a physical computing project, while following, revising, and refining the project plan</t>
  </si>
  <si>
    <t>AL,CS,DD,DI,ET,PG</t>
  </si>
  <si>
    <t>Python programming with sequences of data</t>
  </si>
  <si>
    <t>- Write programs that display messages, receive keyboard input, and use simple arithmetic expressions in assignment statements</t>
  </si>
  <si>
    <t>- Create lists and access individual list items</t>
  </si>
  <si>
    <t>AL,DI,PG</t>
  </si>
  <si>
    <t>- Use selection (**if-elif-else* statements) to control the flow of program execution</t>
  </si>
  <si>
    <t>- Perform common operations on lists or individual items</t>
  </si>
  <si>
    <t>- Use iteration (while statements) to control the flow of program execution</t>
  </si>
  <si>
    <t>- Perform common operations on strings or individual characters</t>
  </si>
  <si>
    <t>- Use iteration (for statements) to iterate over list items</t>
  </si>
  <si>
    <t>- Perform common operations on lists or strings</t>
  </si>
  <si>
    <t>DI,PG</t>
  </si>
  <si>
    <t>- Use iteration (for loops) to iterate over lists and strings</t>
  </si>
  <si>
    <t>- Use variables to keep track of counts and sums</t>
  </si>
  <si>
    <t>- Combine key programming language features to develop solutions to meaningful problems</t>
  </si>
  <si>
    <t>Representations – going audiovisual</t>
  </si>
  <si>
    <t>- Describe how digital images are composed of individual elements</t>
  </si>
  <si>
    <t>- Recall that the colour of each picture element is represented using a sequence of binary digits</t>
  </si>
  <si>
    <t>- Define key terms such as ‘pixels’, ‘resolution’, and ‘colour depth’</t>
  </si>
  <si>
    <t>- Describe how an image can be represented as a sequence of bits</t>
  </si>
  <si>
    <t>- Describe how colour can be represented as a mixture of red, green, and blue, with a sequence of bits representing each colour’s intensity</t>
  </si>
  <si>
    <t>- Compute the representation size of a digital image, by multiplying resolution (number of pixels) with colour depth (number of bits used to represent the colour of individual pixels)</t>
  </si>
  <si>
    <t>- Describe the trade-off between representation size and perceived quality for digital images</t>
  </si>
  <si>
    <t>- Perform basic image editing tasks using appropriate software and combine them in order to solve more complex problems requiring image manipulation</t>
  </si>
  <si>
    <t>- Explain how the manipulation of digital images amounts to arithmetic operations on their digital representation</t>
  </si>
  <si>
    <t>- Describe and assess the creative benefits and ethical drawbacks of digital manipulation [Education for a Connected World](https://www.gov.uk/government/publications/education-for-a-connected-world)</t>
  </si>
  <si>
    <t>CM,DI,IT</t>
  </si>
  <si>
    <t>- Recall that sound is a wave</t>
  </si>
  <si>
    <t>- Explain the function of microphones and speakers as components that capture and generate sound</t>
  </si>
  <si>
    <t>- Define key terms such as ‘sample’, ‘sampling frequency/rate’, ‘sample size’</t>
  </si>
  <si>
    <t>- Describe how sounds are represented as sequences of bits</t>
  </si>
  <si>
    <t>- Calculate representation size for a given digital sound, given its attributes</t>
  </si>
  <si>
    <t>- Explain how attributes such as sampling frequency and sample size affect characteristics such as representation size and perceived quality, and the trade-offs involved</t>
  </si>
  <si>
    <t xml:space="preserve">- Perform basic sound editing tasks using appropriate software and combine them in order to solve more complex problems requiring sound manipulation
</t>
  </si>
  <si>
    <t>- Recall that bitmap images and pulse code sound are not the only binary representations of images and sound available</t>
  </si>
  <si>
    <t>- Define ‘compression’, and describe why it is necessary</t>
  </si>
  <si>
    <t>Non-GCSE</t>
  </si>
  <si>
    <t>IT and the world of work</t>
  </si>
  <si>
    <t>Examine traditional and modern team working</t>
  </si>
  <si>
    <t>DD,IT</t>
  </si>
  <si>
    <t>Interpret the advantages and disadvantages of 24/7/365 availability</t>
  </si>
  <si>
    <t>Compare inclusivity and accessibility within traditional and modern teams</t>
  </si>
  <si>
    <t>Examine modern technology tools that assist inclusivity and accessibility</t>
  </si>
  <si>
    <t>Explore communication tools</t>
  </si>
  <si>
    <t>DD,ET,IT</t>
  </si>
  <si>
    <t>Evaluate collaborative working</t>
  </si>
  <si>
    <t>Recall collaboration and communication platforms</t>
  </si>
  <si>
    <t>Evaluate effective online communication</t>
  </si>
  <si>
    <t>Formulate a proposal that identifies essential skills for the modern workplace</t>
  </si>
  <si>
    <t>Assess the functions and features of cloud computing</t>
  </si>
  <si>
    <t>Justify the selection of communication platforms</t>
  </si>
  <si>
    <t>Evaluate the security of using the cloud for storage and document/data creation</t>
  </si>
  <si>
    <t>Recognise methods of creating a network when mobile or remote working</t>
  </si>
  <si>
    <t>Evaluate the advantages and disadvantages of ad hoc networks</t>
  </si>
  <si>
    <t>Judge the security of ad hoc networks</t>
  </si>
  <si>
    <t>Evaluate the impact of mental well-being on individuals</t>
  </si>
  <si>
    <t>Evaluate the impact of physical well-being on individuals</t>
  </si>
  <si>
    <t>Create a positive working environment</t>
  </si>
  <si>
    <t>IT project management</t>
  </si>
  <si>
    <t>Define the term project management</t>
  </si>
  <si>
    <t>4.1,4.2</t>
  </si>
  <si>
    <t>Identify why the use of project management is important</t>
  </si>
  <si>
    <t>Select appropriate project management methodologies</t>
  </si>
  <si>
    <t>Analyse a project brief</t>
  </si>
  <si>
    <t>Identify the user requirements of a project</t>
  </si>
  <si>
    <t>Evaluate the constraints of a project</t>
  </si>
  <si>
    <t>Identify objectives relating to a project</t>
  </si>
  <si>
    <t>Develop objectives into SMART goals</t>
  </si>
  <si>
    <t>Define ‘iteration’ and ‘interaction’</t>
  </si>
  <si>
    <t>Create a Gantt chart</t>
  </si>
  <si>
    <t>Create a PERT chart</t>
  </si>
  <si>
    <t>Evaluate planning tools</t>
  </si>
  <si>
    <t>Create an appropriate spreadsheet for a project</t>
  </si>
  <si>
    <t>Evaluate a spreadsheet</t>
  </si>
  <si>
    <t>Follow a design plan</t>
  </si>
  <si>
    <t>Create visual media</t>
  </si>
  <si>
    <t>Assess the effectiveness of planning for the visual elements of a project</t>
  </si>
  <si>
    <t>Evaluate the overall success of a completed project</t>
  </si>
  <si>
    <t>Test the effectiveness of developed products</t>
  </si>
  <si>
    <t>Develop documentation for the first stage of a project</t>
  </si>
  <si>
    <t>Create planning documents for a project</t>
  </si>
  <si>
    <t>Create project products</t>
  </si>
  <si>
    <t>Develop testing documentation</t>
  </si>
  <si>
    <t>Evaluate a completed project</t>
  </si>
  <si>
    <t>Media</t>
  </si>
  <si>
    <t>Describe the term ‘pre-production’</t>
  </si>
  <si>
    <t>Compare planning tools available for pre-production</t>
  </si>
  <si>
    <t>Create pre-production planning materials</t>
  </si>
  <si>
    <t>Describe the two main types of digital graphics: raster and vector</t>
  </si>
  <si>
    <t>Name associated file formats for types of digital graphics</t>
  </si>
  <si>
    <t>Utilise open source software to create both types of digital graphics</t>
  </si>
  <si>
    <t>Identify the resources required for creating digital graphics</t>
  </si>
  <si>
    <t>Recognise the legislation regarding use of digital graphics</t>
  </si>
  <si>
    <t>Name the different camera angles used in video production</t>
  </si>
  <si>
    <t>Recognise different file formats and properties of digital video</t>
  </si>
  <si>
    <t>Utilise the software required for digital video creation</t>
  </si>
  <si>
    <t>Discuss the features and properties of websites</t>
  </si>
  <si>
    <t>Plan a multi-page website</t>
  </si>
  <si>
    <t>Create a multi-page website using open source tools</t>
  </si>
  <si>
    <t>Plan a digital media artefact from a selected client brief</t>
  </si>
  <si>
    <t>Create media artefacts</t>
  </si>
  <si>
    <t>Evaluate design decisions for media artefacts</t>
  </si>
  <si>
    <t>Describe the role of conventions in programming</t>
  </si>
  <si>
    <t>Recall that there are different paradigms for programming</t>
  </si>
  <si>
    <t>Define object-oriented programming</t>
  </si>
  <si>
    <t>Identify a class and object as a part of a program</t>
  </si>
  <si>
    <t>Describe the relationship between a class and an object</t>
  </si>
  <si>
    <t>Define attributes and methods as a part of a class</t>
  </si>
  <si>
    <t>Use a constructor to create objects</t>
  </si>
  <si>
    <t>Use a method and access an attribute on an object</t>
  </si>
  <si>
    <t>Model a real world problem using object oriented programming conventions</t>
  </si>
  <si>
    <t>Create a class</t>
  </si>
  <si>
    <t>Define the use of a self parameter in object-oriented Python</t>
  </si>
  <si>
    <t>Create a method on a class</t>
  </si>
  <si>
    <t>Access and modify attributes using getters and setters</t>
  </si>
  <si>
    <t>Define the principle of inheritance</t>
  </si>
  <si>
    <t>Define the terms superclass and subclass</t>
  </si>
  <si>
    <t>Select appropriate uses of inheritance</t>
  </si>
  <si>
    <t>Create a subclass in a program</t>
  </si>
  <si>
    <t>Explore a program written using OOP</t>
  </si>
  <si>
    <t>Explain the key concepts of OOP</t>
  </si>
  <si>
    <t>Online safety</t>
  </si>
  <si>
    <t>Discuss the main safety concerns of being online</t>
  </si>
  <si>
    <t>Reflect on online activity from a safety perspective</t>
  </si>
  <si>
    <t>Define online reputation and discuss what it is made up of</t>
  </si>
  <si>
    <t>Discuss techniques on how to build a positive online reputation</t>
  </si>
  <si>
    <t>Discuss the ways in which one’s online reputation might be under threat and how to defend it</t>
  </si>
  <si>
    <t>Define the terms ‘big data’ and ‘data analytics’</t>
  </si>
  <si>
    <t>Discuss the ethics of big data use</t>
  </si>
  <si>
    <t>Investigate the stakeholders who use big data and why</t>
  </si>
  <si>
    <t>Explain how data is collected on and how it is used</t>
  </si>
  <si>
    <t>Investigate the legal rights to privacy within the UK</t>
  </si>
  <si>
    <t>Discuss which rights are believed to be upheld</t>
  </si>
  <si>
    <t>Debate whether the right to privacy is important, why this might be the case, and if the right to privacy is in tension with any other rights</t>
  </si>
  <si>
    <t>Evaluate what data created online is valuable, and to whom</t>
  </si>
  <si>
    <t>Discuss ways in which data might be stolen</t>
  </si>
  <si>
    <t>Define terms ‘phishing’ and ‘malware’</t>
  </si>
  <si>
    <t>Identify ways to protect one’s data online</t>
  </si>
  <si>
    <t>Discuss examples of disinformation spread online</t>
  </si>
  <si>
    <t>Define the term ‘fake news’ and discuss the quantity of fake news available online</t>
  </si>
  <si>
    <t>Identify why fake news exists and who creates it</t>
  </si>
  <si>
    <t>Discuss ways of identifying fake news and other forms of disinformation</t>
  </si>
  <si>
    <t>Explain why some content online can be potentially harmful</t>
  </si>
  <si>
    <t>Describe the UK laws governing online content</t>
  </si>
  <si>
    <t>Discuss why policing online spaces can be difficult</t>
  </si>
  <si>
    <t>Demonstrate how to report illegal online content</t>
  </si>
  <si>
    <t>Discuss how we decide what content should be illegal</t>
  </si>
  <si>
    <t>Debate the right to access information in the context of safety concerns online already discussed in this unit</t>
  </si>
  <si>
    <t>Compare UK laws with those in other countries</t>
  </si>
  <si>
    <t>Discover different technologies used to access and share information online</t>
  </si>
  <si>
    <t>Reflect on how big data and other tools help to target information to specific users</t>
  </si>
  <si>
    <t>Discuss the impact this might have on different people’s online experiences and the potential disadvantages of living in an online bubble</t>
  </si>
  <si>
    <t>Contemplate the potential harms of being online</t>
  </si>
  <si>
    <t>Determine practical actions that can be made to protect oneself online</t>
  </si>
  <si>
    <t>Summarise key aspects of online safety</t>
  </si>
  <si>
    <t>CS,DI,IT,NW,SS</t>
  </si>
  <si>
    <t>Spreadsheets</t>
  </si>
  <si>
    <t>Create a spreadsheet model for a given scenario</t>
  </si>
  <si>
    <t>Demonstrate how to use formulae to perform calculations</t>
  </si>
  <si>
    <t>Apply cell formatting</t>
  </si>
  <si>
    <t>Implement formatting to make the spreadsheet readable and to highlight different specific information</t>
  </si>
  <si>
    <t>Use data validation when entering data in order to reduce user error</t>
  </si>
  <si>
    <t>Implement conditional formatting techniques</t>
  </si>
  <si>
    <t>Format cells correctly, e.g. cells representing money should be currency, etc.</t>
  </si>
  <si>
    <t>Select the most suitable chart to visualise the selected data</t>
  </si>
  <si>
    <t>Recognise the importance of clear titles and labels</t>
  </si>
  <si>
    <t>Implement and test a macro to carry out a repetitive task</t>
  </si>
  <si>
    <t>Implement a LOOKUP function to retrieve data</t>
  </si>
  <si>
    <t>Implement an IF function to give the user feedback</t>
  </si>
  <si>
    <t>Demonstrate that skills developed in the lessons can be applied to a different scenario</t>
  </si>
  <si>
    <t>Solve problems using transferable skills</t>
  </si>
  <si>
    <t>Think widely about the uses for and purposes of spreadsheets</t>
  </si>
  <si>
    <t>GCSE</t>
  </si>
  <si>
    <t>Algorithms part 1</t>
  </si>
  <si>
    <t>Define the terms decomposition, abstraction and algorithmic thinking</t>
  </si>
  <si>
    <t>Recognise scenarios where each of these computational thinking techniques are applied</t>
  </si>
  <si>
    <t>Apply decomposition, abstraction and algorithmic thinking to help solve a problem</t>
  </si>
  <si>
    <t>Describe the difference between algorithms and computer programs</t>
  </si>
  <si>
    <t>Identify algorithms that are defined as written descriptions, flowcharts and code</t>
  </si>
  <si>
    <t>Analyse and create flowcharts using the flowchart symbols</t>
  </si>
  <si>
    <t>Use a trace table to walk through code that contains a while loop, a for loop and a list of items</t>
  </si>
  <si>
    <t>Use a trace table to detect and correct errors in a program</t>
  </si>
  <si>
    <t>Algorithms part 2</t>
  </si>
  <si>
    <t>Identify why computers often need to search data</t>
  </si>
  <si>
    <t>Describe how linear search is used for finding the position of an item in a list of items</t>
  </si>
  <si>
    <t>Perform a linear search to find the position of an item in a list</t>
  </si>
  <si>
    <t>Describe how binary search is used for finding the position of an item in a list of items</t>
  </si>
  <si>
    <t>Perform a binary search to find the position of an item in a list</t>
  </si>
  <si>
    <t>Identify scenarios when a binary search can and cannot be carried out</t>
  </si>
  <si>
    <t>Compare the features of linear and binary search and decide which is most suitable in a given context</t>
  </si>
  <si>
    <t>Interpret the code for linear search and binary search</t>
  </si>
  <si>
    <t>Trace code for both searching algorithms with input data</t>
  </si>
  <si>
    <t>Identify why computers often need to sort data</t>
  </si>
  <si>
    <t>Traverse a list of items, swapping the items that are out of order</t>
  </si>
  <si>
    <t>Perform a bubble sort to order a list containing sample data</t>
  </si>
  <si>
    <t>Insert an item into an ordered list of items</t>
  </si>
  <si>
    <t>Describe how insertion sort is used for ordering a list of items</t>
  </si>
  <si>
    <t>Perform an insertion sort to order a list containing sample data</t>
  </si>
  <si>
    <t>Interpret the code for bubble sort and insertion sort</t>
  </si>
  <si>
    <t>Trace code for both sorting algorithms with input data</t>
  </si>
  <si>
    <t>Identify factors that could influence the efficiency of a bubble sort implementation</t>
  </si>
  <si>
    <t>Merge two ordered lists of items into a new ordered list</t>
  </si>
  <si>
    <t>Describe how merge sort is used for ordering a list of items</t>
  </si>
  <si>
    <t>Perform a merge sort to order a list containing sample data</t>
  </si>
  <si>
    <t>Interpret algorithms and suggest improvements</t>
  </si>
  <si>
    <t>Analyse and fix errors in a flowchart</t>
  </si>
  <si>
    <t>Perform searching and sorting algorithms on samples of data</t>
  </si>
  <si>
    <t>Develop a linear search function in Python</t>
  </si>
  <si>
    <t>Complete the end of unit assessment</t>
  </si>
  <si>
    <t>Understand the difference between embedded and general purpose computer systems</t>
  </si>
  <si>
    <t>4.1,4.2,4.3</t>
  </si>
  <si>
    <t>Describe the role of system software as part of a computer system</t>
  </si>
  <si>
    <t>Explore the role of the operating system and utility software</t>
  </si>
  <si>
    <t>Describe the basic components of the CPU</t>
  </si>
  <si>
    <t>Understand the roles and purpose of each component of the CPU in computation</t>
  </si>
  <si>
    <t>Explain how the fetch-decode-execute cycle works by describing what happens at each stage</t>
  </si>
  <si>
    <t>Describe the role of each part of the CPU as part of the fetch-decode-execute cycle</t>
  </si>
  <si>
    <t>Describe the characteristics of RAM and ROM</t>
  </si>
  <si>
    <t>Explain the role of main memory as part of a computer system</t>
  </si>
  <si>
    <t>Define cache memory</t>
  </si>
  <si>
    <t>Describe the role of cache in a computer system</t>
  </si>
  <si>
    <t>Explain why a computer system needs secondary storage</t>
  </si>
  <si>
    <t>State the different types of secondary storage and describe their functional characteristics</t>
  </si>
  <si>
    <t>State how solid-state memory works and describe its characteristics</t>
  </si>
  <si>
    <t>Explain how optical and magnetic memory stores data in the form of binary</t>
  </si>
  <si>
    <t>Describe how data is read from and written to optical and magnetic memory</t>
  </si>
  <si>
    <t>Apply knowledge of storage devices to compare the three mediums of storage</t>
  </si>
  <si>
    <t>Apply the knowledge of storage devices to recommend an appropriate device</t>
  </si>
  <si>
    <t>Describe the limitations of secondary storage</t>
  </si>
  <si>
    <t>Explain the definition of ‘cloud storage’ and describe the characteristics of cloud storage</t>
  </si>
  <si>
    <t>Explore the factors that impact a CPU’s performance</t>
  </si>
  <si>
    <t>Select components to create a computer system</t>
  </si>
  <si>
    <t>Evaluate a computer’s suitability for a given task</t>
  </si>
  <si>
    <t>Revise computer systems content covered so far</t>
  </si>
  <si>
    <t>Design and implement a software project</t>
  </si>
  <si>
    <t>Discover the logic gates AND, NOT, and OR, including their symbols and truth tables</t>
  </si>
  <si>
    <t>AL,CS</t>
  </si>
  <si>
    <t>Learn how logic gates are used in carrying out computation</t>
  </si>
  <si>
    <t>Design a logical circuit, combining logic gates to solve a problem</t>
  </si>
  <si>
    <t>Construct truth tables for a three-input logic circuit</t>
  </si>
  <si>
    <t>Write a Boolean expression to describe a logical circuit</t>
  </si>
  <si>
    <t>Describe how combinations of logic gates can perform mathematical operations</t>
  </si>
  <si>
    <t>Explain the basic commands in the LMC’s assembly code: INP, OUT, STA, LDA, ADD, SUB, and BRP</t>
  </si>
  <si>
    <t>Determine that assembly language has a 1:1 relationship with machine code</t>
  </si>
  <si>
    <t>Design and write your own program in assembly language</t>
  </si>
  <si>
    <t>Define the terms cybersecurity and network security, explain their importance, and distinguish between the two</t>
  </si>
  <si>
    <t>4.1,4.3</t>
  </si>
  <si>
    <t>Describe the features of a network that make it vulnerable to attack</t>
  </si>
  <si>
    <t>Describe the impact of cybercrime on businesses and individuals</t>
  </si>
  <si>
    <t>Analyse an attack on a company and identify what motivated the hackers</t>
  </si>
  <si>
    <t>Demonstrate knowledge of social engineering in role play and case studies</t>
  </si>
  <si>
    <t>Identify and describe non-automated forms of cyberattack and how humans can be the weak points in an organisation</t>
  </si>
  <si>
    <t>Analyse a real cyberattack and identify the network or software weaknesses that enabled it to happen</t>
  </si>
  <si>
    <t>Describe automated forms of cyberattack</t>
  </si>
  <si>
    <t>Describe ways in which organisations use software to protect against cyberattacks</t>
  </si>
  <si>
    <t>Identify how software can be used to protect from cyberattacks</t>
  </si>
  <si>
    <t>CS,DD,NW,SS</t>
  </si>
  <si>
    <t>Describe different ways to protect software systems and networks (2 of 2)</t>
  </si>
  <si>
    <t>Understand the need for, and importance of, network security</t>
  </si>
  <si>
    <t>Explain a number of methods of achieving network security</t>
  </si>
  <si>
    <t>Describe different methods of identifying cybersecurity vulnerabilities, such as: penetration testing, ethical hacking, network forensics, commercial analysis tools, review of network and user policies</t>
  </si>
  <si>
    <t>Evaluate the potential for cybersecurity careers</t>
  </si>
  <si>
    <t>Apply knowledge of cybersecurity to GCSE-style questions</t>
  </si>
  <si>
    <t>CS,DD,IT,NW,SS</t>
  </si>
  <si>
    <t>Describe a database</t>
  </si>
  <si>
    <t>Define database key terms (table, record, field, primary key, foreign key)</t>
  </si>
  <si>
    <t>Describe a flat file database</t>
  </si>
  <si>
    <t>Describe a relational database</t>
  </si>
  <si>
    <t>Describe the function of SQL</t>
  </si>
  <si>
    <t>Use SQL to retrieve data from a table in a relational database</t>
  </si>
  <si>
    <t>Use SQL to retrieve data from more than one table in a relational database</t>
  </si>
  <si>
    <t>Describe the function of different data types.</t>
  </si>
  <si>
    <t>Use SQL to insert, update and delete data into a relational database</t>
  </si>
  <si>
    <t>Interrogate and update an existing database</t>
  </si>
  <si>
    <t>Data representations</t>
  </si>
  <si>
    <t>Give examples of the use of representation</t>
  </si>
  <si>
    <t>Explain how binary relates to two-state electrical signals</t>
  </si>
  <si>
    <t>Work out what range of numbers can be stored in a specific number of bits</t>
  </si>
  <si>
    <t>Explain the concept of a number base</t>
  </si>
  <si>
    <t>Convert a positive binary integer to decimal</t>
  </si>
  <si>
    <t>Convert a decimal number to binary</t>
  </si>
  <si>
    <t>Define the term ‘bit’</t>
  </si>
  <si>
    <t>Perform binary shifts (logical)</t>
  </si>
  <si>
    <t>Perform binary addition</t>
  </si>
  <si>
    <t>Explain why overflow might occur</t>
  </si>
  <si>
    <t>Define the term ‘byte’</t>
  </si>
  <si>
    <t>Explain how numbers are represented using hexadecimal</t>
  </si>
  <si>
    <t>Convert decimal numbers to and from hexadecimal</t>
  </si>
  <si>
    <t>Explain why and where hexadecimal notation is used</t>
  </si>
  <si>
    <t>Be able to convert binary numbers to and from hexadecimal</t>
  </si>
  <si>
    <t>Define the term ‘nibble’</t>
  </si>
  <si>
    <t>Explain how ASCII is used to represent characters, and its limitations</t>
  </si>
  <si>
    <t>Explain what a character set is</t>
  </si>
  <si>
    <t>Explain the need for Unicode</t>
  </si>
  <si>
    <t>Be able to calculate the number of bits needed to store a piece of text</t>
  </si>
  <si>
    <t>Describe what a pixel is and how pixels relate to images</t>
  </si>
  <si>
    <t>Explain how bitmaps are used to represent images</t>
  </si>
  <si>
    <t>Convert between binary data and black and white bitmaps</t>
  </si>
  <si>
    <t>Explain the relationship between resolution, colour depth, and file size for images</t>
  </si>
  <si>
    <t>Describe colour depth and resolution, and how they impact on image quality</t>
  </si>
  <si>
    <t>Define the terms ‘bit’, ‘nibble’, ‘byte’, ‘megabyte’, ‘gigabyte’, ‘terabyte’, and ‘petabyte’</t>
  </si>
  <si>
    <t>Be able to convert between units of measurement</t>
  </si>
  <si>
    <t>Explain the difference between raster and vector graphics</t>
  </si>
  <si>
    <t>Describe the use of metadata in image files</t>
  </si>
  <si>
    <t>Explain why analogue sound data needs to be converted to discrete values</t>
  </si>
  <si>
    <t>Describe the concepts of sampling, sample rate, and sample resolution</t>
  </si>
  <si>
    <t>Describe the use of metadata in sound files</t>
  </si>
  <si>
    <t>Calculate file size requirements for sound files</t>
  </si>
  <si>
    <t>Create a simple web page using basic tags</t>
  </si>
  <si>
    <t>CM,NW,PG</t>
  </si>
  <si>
    <t>Describe the purpose of HTML and tags when designing a website</t>
  </si>
  <si>
    <t>Describe what is meant by the term ‘accessibility’</t>
  </si>
  <si>
    <t>DD,IT,NW</t>
  </si>
  <si>
    <t>Extend a HTML page to include images &lt;img&gt; and hyperlinks &lt;a href&gt;</t>
  </si>
  <si>
    <t>Identify the common features of existing websites and the basics of what makes good web design</t>
  </si>
  <si>
    <t>DD,NW,PG</t>
  </si>
  <si>
    <t>Design and create pages for a mini website</t>
  </si>
  <si>
    <t>CM,DD,NW,PG</t>
  </si>
  <si>
    <t>Create hyperlinks between pages stored locally within a folder</t>
  </si>
  <si>
    <t>Insert images stored locally within a folder</t>
  </si>
  <si>
    <t>Experiment with CSS by changing the style of the tags learnt so far in this unit</t>
  </si>
  <si>
    <t>Describe the purpose of CSS and why it is needed in addition to HTML</t>
  </si>
  <si>
    <t>Apply knowledge of CSS to DIVs within web pages using classes</t>
  </si>
  <si>
    <t>Describe the purpose of DIV tags</t>
  </si>
  <si>
    <t>Apply skills to position items within a page</t>
  </si>
  <si>
    <t>Explain how to plan a website by developing house style and sketched wireframe</t>
  </si>
  <si>
    <t>Describe the box model in CSS</t>
  </si>
  <si>
    <t>Self/peer evaluate the webpage produced using a rubric</t>
  </si>
  <si>
    <t>Construct a three-page website to showcase the skills learned throughout this unit of study</t>
  </si>
  <si>
    <t>Extend/finish the assessed website</t>
  </si>
  <si>
    <t>Showcase the assessed website</t>
  </si>
  <si>
    <t>Demonstrate how much has been learnt by taking an end of unit test</t>
  </si>
  <si>
    <t>Apply the terms ‘privacy’, ‘legal’, ‘ethical’, ‘environmental’, and ‘cultural’</t>
  </si>
  <si>
    <t>Explain data legislation, including an organisation’s obligation to protect and supply data</t>
  </si>
  <si>
    <t>Explain the term ‘stakeholder’</t>
  </si>
  <si>
    <t>Explain the right to be forgotten</t>
  </si>
  <si>
    <t>Distinguish the differences between legitimate creative uses and clear infringement of material subject to copyright</t>
  </si>
  <si>
    <t>Explain the Freedom of Information Act</t>
  </si>
  <si>
    <t>Define ‘computer misuse’ and the associated offences</t>
  </si>
  <si>
    <t>Identify situations that would be classified as an offence under the Act</t>
  </si>
  <si>
    <t>Define ‘downtime’ and explain the associated impact on an organisation</t>
  </si>
  <si>
    <t>Explain what is meant by the ‘digital divide’ and measures to mitigate its effect</t>
  </si>
  <si>
    <t>Identify positive and negative aspects of the use of mobile technology</t>
  </si>
  <si>
    <t>Identify the implications of having personal data online</t>
  </si>
  <si>
    <t>Explain the social and environmental impacts of social media</t>
  </si>
  <si>
    <t>Explain the positive and negative effects of online content</t>
  </si>
  <si>
    <t>Explain the environmental effects of the use of technology</t>
  </si>
  <si>
    <t>Explain the ethical issues surrounding the use of AI in society</t>
  </si>
  <si>
    <t>AL,IT,PG</t>
  </si>
  <si>
    <t>Explain the ethical impact of using algorithms to make decisions</t>
  </si>
  <si>
    <t>Demonstrate knowledge of the five impacts of technology</t>
  </si>
  <si>
    <t>Define what networks are</t>
  </si>
  <si>
    <t>Describe the hardware components required to build networks of devices</t>
  </si>
  <si>
    <t>Analyse the benefits and problems associated with networks</t>
  </si>
  <si>
    <t>Explain how devices can be connected to a network either through a wired or wireless connection</t>
  </si>
  <si>
    <t>Define MAC addresses and their use in networks</t>
  </si>
  <si>
    <t>Analyse specific examples including Ethernet and Wi-Fi</t>
  </si>
  <si>
    <t>Explain the importance of connectivity in modern computing systems</t>
  </si>
  <si>
    <t>List and describe the different types of networks depending on node distribution, including personal, local, and wide area networks</t>
  </si>
  <si>
    <t>List, describe, and compare the different types of networks depending on topology, such as ring, star, and bus</t>
  </si>
  <si>
    <t>List, describe, and compare the different types of communication models encountered in networks, such as server–client and peer-to-peer</t>
  </si>
  <si>
    <t>Define and describe the internet</t>
  </si>
  <si>
    <t>Define the WWW and describe its main components</t>
  </si>
  <si>
    <t>Define and explain the concept of a networking protocol</t>
  </si>
  <si>
    <t>List and explain standard internet protocols in the application layer, such as HTTP, HTTPS, FTP, DNS, SMTP, POP, and IMAP</t>
  </si>
  <si>
    <t>Explain and describe the advantages and disadvantages of circuit switching and packet switching</t>
  </si>
  <si>
    <t>List and explain the four different layers associated with the Internet Protocol: link, network/internet, transport, and application</t>
  </si>
  <si>
    <t>Explain the Internet Protocol in the internet layer</t>
  </si>
  <si>
    <t>List and explain standard internet protocols in the transport layer, such as TCP and UDP</t>
  </si>
  <si>
    <t>Describe how network data speeds are measured, and the factors affecting network performance</t>
  </si>
  <si>
    <t>Define what virtual networks are, and how they are used to maintain network performance</t>
  </si>
  <si>
    <t>Explain why networks are a target for criminals, and what some of the tools available to defend against attacks are</t>
  </si>
  <si>
    <t>Physical computing project</t>
  </si>
  <si>
    <t>Define the term physical computing</t>
  </si>
  <si>
    <t>Explain the term embedded systems</t>
  </si>
  <si>
    <t>Create and test a working circuit</t>
  </si>
  <si>
    <t>Explore how to add functionality using a motor controller</t>
  </si>
  <si>
    <t>DD,CS,PG</t>
  </si>
  <si>
    <t>Interact with real-world objects using code and additional hardware</t>
  </si>
  <si>
    <t>Use basic materials and tools to create a prototype</t>
  </si>
  <si>
    <t>Understand how ultrasonic sound waves work</t>
  </si>
  <si>
    <t>DI,CS,PG</t>
  </si>
  <si>
    <t>Combine inputs and outputs to solve a problem</t>
  </si>
  <si>
    <t>DD,PG,AL,CS</t>
  </si>
  <si>
    <t>Understand how reflective optical sensors work</t>
  </si>
  <si>
    <t>DI,CS</t>
  </si>
  <si>
    <t>Process input data to monitor and react to the environment</t>
  </si>
  <si>
    <t>DI,PG,CS</t>
  </si>
  <si>
    <t>Synchronise the behaviour of physical hardware components for a given situation</t>
  </si>
  <si>
    <t>DI,DD,CS,AL,PG</t>
  </si>
  <si>
    <t>Programming part 1 - Sequence</t>
  </si>
  <si>
    <t>Compare how humans and computers interpret instructions</t>
  </si>
  <si>
    <t>Explain the differences between high- and low-level programming languages</t>
  </si>
  <si>
    <t>Describe why translators are necessary</t>
  </si>
  <si>
    <t>List the differences, benefits and drawbacks of using a compiler or an interpreter</t>
  </si>
  <si>
    <t>Use subroutines in programs</t>
  </si>
  <si>
    <t>Define a sequence as instructions performed in order, with each executed in turn</t>
  </si>
  <si>
    <t>Predict the outcome of a sequence and modify it</t>
  </si>
  <si>
    <t>Interpret error messages and define error types and identify them in programs (logic, syntax)</t>
  </si>
  <si>
    <t>Describe the tools an IDE provides (editors, error diagnostics, run-time environment, translators)</t>
  </si>
  <si>
    <t>Use meaningful identifiers</t>
  </si>
  <si>
    <t>Determine the need for variables</t>
  </si>
  <si>
    <t>Distinguish between declaration, initialisation and assignment of variables</t>
  </si>
  <si>
    <t>Demonstrate appropriate use of naming conventions</t>
  </si>
  <si>
    <t>Output data (e.g. print (my_var))</t>
  </si>
  <si>
    <t>Obtain input from the keyboard in a program</t>
  </si>
  <si>
    <t>Differentiate between the data types; integer, real, Boolean, character, string</t>
  </si>
  <si>
    <t>Cast variables by calling a function that will return a new value of the desired data type</t>
  </si>
  <si>
    <t>Define runtime errors in programs</t>
  </si>
  <si>
    <t>Define validation checks</t>
  </si>
  <si>
    <t>Identify flowchart symbols and describe how to use them (start, end, input, output, subroutine)</t>
  </si>
  <si>
    <t>Translate a flowchart into a program sequence</t>
  </si>
  <si>
    <t>Design a flowchart for a program</t>
  </si>
  <si>
    <t>Programming part 2 - Selection</t>
  </si>
  <si>
    <t>Be able to locate information using the language documentation</t>
  </si>
  <si>
    <t>Import modules into your code</t>
  </si>
  <si>
    <t>Demonstrate how to generate random numbers</t>
  </si>
  <si>
    <t>Evaluate arithmetic expressions using rules of operator precedence (BIDMAS)</t>
  </si>
  <si>
    <t>Write and use expressions that use arithmetic operators (add, subtract, multiply, real division, integer division, MOD, to the power)</t>
  </si>
  <si>
    <t>Assign expressions to variables</t>
  </si>
  <si>
    <t xml:space="preserve">Define a condition as an expression that can be evaluated to either True or </t>
  </si>
  <si>
    <t>Identify flowchart symbols and describe how to use them (decision)</t>
  </si>
  <si>
    <t>Identify that selection uses conditions to control the flow of execution</t>
  </si>
  <si>
    <t>Walkthrough code that includes selection (if, elif, else)</t>
  </si>
  <si>
    <t>Use selection statements in a program</t>
  </si>
  <si>
    <t>Identify when selection statements should be used in programs</t>
  </si>
  <si>
    <t>Write and use expressions that use comparison operators (equal to, not equal to, less than, greater than, less than or equal to, greater than or equal to)</t>
  </si>
  <si>
    <t>Describe how Boolean/logical operators can be used in expressions</t>
  </si>
  <si>
    <t>Walkthrough code that use conditions with Boolean/logical operators (AND, OR)</t>
  </si>
  <si>
    <t>Write and use expressions that use Boolean/logical operators (AND, OR)</t>
  </si>
  <si>
    <t>Define nested selection</t>
  </si>
  <si>
    <t>Walk through code that uses nested selection</t>
  </si>
  <si>
    <t>Modify a program that uses nested selection</t>
  </si>
  <si>
    <t>Programming part 3 - Iteration</t>
  </si>
  <si>
    <t>Define iteration as a group of instructions that are repeatedly executed</t>
  </si>
  <si>
    <t>Modify a program to incorporate a while loop</t>
  </si>
  <si>
    <t>Use a trace table to walkthrough code that uses a while loop</t>
  </si>
  <si>
    <t>Use a trace table to detect and correct errors in programs</t>
  </si>
  <si>
    <t>Define a for loop</t>
  </si>
  <si>
    <t>Walk through code that uses a for loop</t>
  </si>
  <si>
    <t>Modify a program that uses a for loop</t>
  </si>
  <si>
    <t>Compare a while loop and a for loop</t>
  </si>
  <si>
    <t>Determine the need for validation checks</t>
  </si>
  <si>
    <t>Use iteration to perform validation checks</t>
  </si>
  <si>
    <t>Describe the purpose of pseudocode</t>
  </si>
  <si>
    <t>Translate pseudocode into a program</t>
  </si>
  <si>
    <t>Design and build a program using pseudocode</t>
  </si>
  <si>
    <t>Programming part 4 - Subroutines</t>
  </si>
  <si>
    <t>Describe a subroutine</t>
  </si>
  <si>
    <t>Describe the purpose of parameters in subroutines</t>
  </si>
  <si>
    <t>Use procedures that accept arguments through parameters</t>
  </si>
  <si>
    <t>Describe how subroutines are used for decomposition</t>
  </si>
  <si>
    <t>List the advantages of subroutines</t>
  </si>
  <si>
    <t>Explain the difference between a function and a procedure</t>
  </si>
  <si>
    <t>Use trace tables to investigate functions</t>
  </si>
  <si>
    <t>Use functions to return values in programs</t>
  </si>
  <si>
    <t>Describe scope of variables</t>
  </si>
  <si>
    <t>Describe how parameters can reduce the need for global variables</t>
  </si>
  <si>
    <t>Identify when to use global variables</t>
  </si>
  <si>
    <t>Describe a constant</t>
  </si>
  <si>
    <t>Use a truth table</t>
  </si>
  <si>
    <t>Describe the function of an XOR operator</t>
  </si>
  <si>
    <t>Design and create a function for an XOR operator</t>
  </si>
  <si>
    <t>Describe the structured approach to programming</t>
  </si>
  <si>
    <t>Explain the advantages of the structured approach</t>
  </si>
  <si>
    <t>Use the structured approach in programming</t>
  </si>
  <si>
    <t>Describe iterative testing</t>
  </si>
  <si>
    <t>Describe the types of testing (erroneous, boundary, normal)</t>
  </si>
  <si>
    <t>Design and create a program</t>
  </si>
  <si>
    <t>Programming part 5 - Strings and lists</t>
  </si>
  <si>
    <t>Define the term GUI</t>
  </si>
  <si>
    <t>Import third-party libraries</t>
  </si>
  <si>
    <t>Use guizero to create an event-driven program that uses a GUI</t>
  </si>
  <si>
    <t>Describe the function of string operators</t>
  </si>
  <si>
    <t>Use string handling techniques</t>
  </si>
  <si>
    <t>Use for loops with string operations</t>
  </si>
  <si>
    <t>Use a substring in a program</t>
  </si>
  <si>
    <t>Use the in operator to check for a substring</t>
  </si>
  <si>
    <t>Use chr() and ord() to perform ASCII conversions</t>
  </si>
  <si>
    <t>Create a program that uses string handling techniques</t>
  </si>
  <si>
    <t>Define a data structure</t>
  </si>
  <si>
    <t>Define a list and an array</t>
  </si>
  <si>
    <t>Describe the differences between lists and arrays</t>
  </si>
  <si>
    <t>Use a list in a program</t>
  </si>
  <si>
    <t>Append to a list</t>
  </si>
  <si>
    <t>Traverse a list of elements</t>
  </si>
  <si>
    <t>Use list methods</t>
  </si>
  <si>
    <t>Create a function that returns a list</t>
  </si>
  <si>
    <t>Import custom built functions</t>
  </si>
  <si>
    <t>Use lists to display output on a physical computing device</t>
  </si>
  <si>
    <t>Use randomisation to append items to a list</t>
  </si>
  <si>
    <t>Define a 2D array and a list</t>
  </si>
  <si>
    <t>Use a 2D list in a program</t>
  </si>
  <si>
    <t>Use a 2D list as part of a programming challenge</t>
  </si>
  <si>
    <t>Programming part 6 - Dictionaries and datafiles</t>
  </si>
  <si>
    <t>Describe the record data structure</t>
  </si>
  <si>
    <t>Use a dictionary to represent a record in a program</t>
  </si>
  <si>
    <t>Use a dictionary with a list to represent records in a database</t>
  </si>
  <si>
    <t>Describe the dictionary data structure</t>
  </si>
  <si>
    <t>Use a dictionary to produce key-value pairs</t>
  </si>
  <si>
    <t>Determine the purpose of external data files</t>
  </si>
  <si>
    <t>Read data from an external text file</t>
  </si>
  <si>
    <t>Write to text files</t>
  </si>
  <si>
    <t>Append to text files</t>
  </si>
  <si>
    <t>Describe a CSV file</t>
  </si>
  <si>
    <t>Read from a CSV file</t>
  </si>
  <si>
    <t>Use the split() method</t>
  </si>
  <si>
    <t>Select data from a collection of values</t>
  </si>
  <si>
    <t>Write data from a 1D list to a CSV file</t>
  </si>
  <si>
    <t>Write data from a 2D list to a CSV file</t>
  </si>
  <si>
    <t>Determine the good habits of a programmer</t>
  </si>
  <si>
    <t>Explore alternative approaches to programming solutions</t>
  </si>
  <si>
    <t>Append to a CSV file</t>
  </si>
  <si>
    <t>Write success criteria for a challenging project</t>
  </si>
  <si>
    <t>Design the program for a challenging project using flowchart or pseudocode</t>
  </si>
  <si>
    <t>Create the solution for the battle boats program</t>
  </si>
  <si>
    <t>Perform final testing of the solution to a challenging problem</t>
  </si>
  <si>
    <t>Evaluate a challenging program</t>
  </si>
  <si>
    <t>RPF Computing Taxonomy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</si>
</sst>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24"/>
      <color theme="1"/>
      <name val="Roboto"/>
    </font>
    <font>
      <sz val="10"/>
      <name val="Arial"/>
      <family val="2"/>
    </font>
    <font>
      <sz val="14"/>
      <color theme="1"/>
      <name val="Roboto"/>
    </font>
    <font>
      <sz val="10"/>
      <color theme="1"/>
      <name val="Roboto"/>
    </font>
    <font>
      <sz val="12"/>
      <color theme="1"/>
      <name val="Roboto"/>
    </font>
    <font>
      <b/>
      <sz val="10"/>
      <color theme="1"/>
      <name val="Roboto"/>
    </font>
    <font>
      <b/>
      <sz val="10"/>
      <color rgb="FFFFFFFF"/>
      <name val="Roboto"/>
    </font>
    <font>
      <b/>
      <sz val="18"/>
      <color rgb="FF000000"/>
      <name val="Docs-Roboto"/>
    </font>
    <font>
      <sz val="10"/>
      <color theme="1"/>
      <name val="Roboto"/>
    </font>
    <font>
      <u/>
      <sz val="12"/>
      <color rgb="FF0000FF"/>
      <name val="Roboto"/>
    </font>
    <font>
      <sz val="10"/>
      <color theme="1"/>
      <name val="Arial"/>
      <family val="2"/>
      <scheme val="minor"/>
    </font>
    <font>
      <b/>
      <sz val="10"/>
      <color theme="1"/>
      <name val="Arial"/>
      <family val="2"/>
      <scheme val="minor"/>
    </font>
    <font>
      <sz val="6"/>
      <color rgb="FFEFEFEF"/>
      <name val="Arial"/>
      <family val="2"/>
      <scheme val="minor"/>
    </font>
    <font>
      <sz val="6"/>
      <color rgb="FFCCCCCC"/>
      <name val="Arial"/>
      <family val="2"/>
      <scheme val="minor"/>
    </font>
    <font>
      <sz val="12"/>
      <name val="Roboto"/>
    </font>
    <font>
      <b/>
      <sz val="12"/>
      <name val="Roboto"/>
    </font>
    <font>
      <u/>
      <sz val="12"/>
      <color rgb="FF1155CC"/>
      <name val="Roboto"/>
    </font>
    <font>
      <sz val="10"/>
      <color rgb="FF000000"/>
      <name val="Arial"/>
      <family val="2"/>
      <scheme val="minor"/>
    </font>
  </fonts>
  <fills count="5">
    <fill>
      <patternFill patternType="none"/>
    </fill>
    <fill>
      <patternFill patternType="gray125"/>
    </fill>
    <fill>
      <patternFill patternType="solid">
        <fgColor rgb="FFCD2355"/>
        <bgColor rgb="FFCD2355"/>
      </patternFill>
    </fill>
    <fill>
      <patternFill patternType="solid">
        <fgColor rgb="FFFFFFFF"/>
        <bgColor rgb="FFFFFFFF"/>
      </patternFill>
    </fill>
    <fill>
      <patternFill patternType="solid">
        <fgColor rgb="FFEFEFEF"/>
        <bgColor rgb="FFEFEFEF"/>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thin">
        <color rgb="FF000000"/>
      </right>
      <top/>
      <bottom style="hair">
        <color rgb="FFB7B7B7"/>
      </bottom>
      <diagonal/>
    </border>
    <border>
      <left/>
      <right style="hair">
        <color rgb="FFB7B7B7"/>
      </right>
      <top/>
      <bottom style="hair">
        <color rgb="FFB7B7B7"/>
      </bottom>
      <diagonal/>
    </border>
    <border>
      <left style="hair">
        <color rgb="FFB7B7B7"/>
      </left>
      <right style="hair">
        <color rgb="FFB7B7B7"/>
      </right>
      <top/>
      <bottom style="hair">
        <color rgb="FFB7B7B7"/>
      </bottom>
      <diagonal/>
    </border>
    <border>
      <left style="hair">
        <color rgb="FFB7B7B7"/>
      </left>
      <right style="thin">
        <color rgb="FF000000"/>
      </right>
      <top/>
      <bottom style="hair">
        <color rgb="FFB7B7B7"/>
      </bottom>
      <diagonal/>
    </border>
    <border>
      <left style="thin">
        <color rgb="FF000000"/>
      </left>
      <right style="thin">
        <color rgb="FF000000"/>
      </right>
      <top style="hair">
        <color rgb="FFB7B7B7"/>
      </top>
      <bottom style="hair">
        <color rgb="FFB7B7B7"/>
      </bottom>
      <diagonal/>
    </border>
    <border>
      <left/>
      <right style="hair">
        <color rgb="FFB7B7B7"/>
      </right>
      <top style="hair">
        <color rgb="FFB7B7B7"/>
      </top>
      <bottom style="hair">
        <color rgb="FFB7B7B7"/>
      </bottom>
      <diagonal/>
    </border>
    <border>
      <left style="hair">
        <color rgb="FFB7B7B7"/>
      </left>
      <right style="hair">
        <color rgb="FFB7B7B7"/>
      </right>
      <top style="hair">
        <color rgb="FFB7B7B7"/>
      </top>
      <bottom style="hair">
        <color rgb="FFB7B7B7"/>
      </bottom>
      <diagonal/>
    </border>
    <border>
      <left style="hair">
        <color rgb="FFB7B7B7"/>
      </left>
      <right style="thin">
        <color rgb="FF000000"/>
      </right>
      <top style="hair">
        <color rgb="FFB7B7B7"/>
      </top>
      <bottom style="hair">
        <color rgb="FFB7B7B7"/>
      </bottom>
      <diagonal/>
    </border>
    <border>
      <left style="thin">
        <color rgb="FF000000"/>
      </left>
      <right style="thin">
        <color rgb="FF000000"/>
      </right>
      <top style="hair">
        <color rgb="FFB7B7B7"/>
      </top>
      <bottom style="dotted">
        <color rgb="FFB7B7B7"/>
      </bottom>
      <diagonal/>
    </border>
    <border>
      <left/>
      <right style="hair">
        <color rgb="FFB7B7B7"/>
      </right>
      <top style="hair">
        <color rgb="FFB7B7B7"/>
      </top>
      <bottom style="dotted">
        <color rgb="FFB7B7B7"/>
      </bottom>
      <diagonal/>
    </border>
    <border>
      <left style="hair">
        <color rgb="FFB7B7B7"/>
      </left>
      <right style="hair">
        <color rgb="FFB7B7B7"/>
      </right>
      <top style="hair">
        <color rgb="FFB7B7B7"/>
      </top>
      <bottom style="dotted">
        <color rgb="FFB7B7B7"/>
      </bottom>
      <diagonal/>
    </border>
    <border>
      <left style="hair">
        <color rgb="FFB7B7B7"/>
      </left>
      <right style="thin">
        <color rgb="FF000000"/>
      </right>
      <top style="hair">
        <color rgb="FFB7B7B7"/>
      </top>
      <bottom style="dotted">
        <color rgb="FFB7B7B7"/>
      </bottom>
      <diagonal/>
    </border>
    <border>
      <left style="thin">
        <color rgb="FF000000"/>
      </left>
      <right style="thin">
        <color rgb="FF000000"/>
      </right>
      <top style="dotted">
        <color rgb="FFB7B7B7"/>
      </top>
      <bottom style="hair">
        <color rgb="FFB7B7B7"/>
      </bottom>
      <diagonal/>
    </border>
    <border>
      <left/>
      <right style="hair">
        <color rgb="FFB7B7B7"/>
      </right>
      <top style="dotted">
        <color rgb="FFB7B7B7"/>
      </top>
      <bottom style="hair">
        <color rgb="FFB7B7B7"/>
      </bottom>
      <diagonal/>
    </border>
    <border>
      <left style="hair">
        <color rgb="FFB7B7B7"/>
      </left>
      <right style="hair">
        <color rgb="FFB7B7B7"/>
      </right>
      <top style="dotted">
        <color rgb="FFB7B7B7"/>
      </top>
      <bottom style="hair">
        <color rgb="FFB7B7B7"/>
      </bottom>
      <diagonal/>
    </border>
    <border>
      <left style="hair">
        <color rgb="FFB7B7B7"/>
      </left>
      <right style="thin">
        <color rgb="FF000000"/>
      </right>
      <top style="dotted">
        <color rgb="FFB7B7B7"/>
      </top>
      <bottom style="hair">
        <color rgb="FFB7B7B7"/>
      </bottom>
      <diagonal/>
    </border>
    <border>
      <left style="thin">
        <color rgb="FF000000"/>
      </left>
      <right style="thin">
        <color rgb="FF000000"/>
      </right>
      <top style="hair">
        <color rgb="FFB7B7B7"/>
      </top>
      <bottom style="thin">
        <color rgb="FF000000"/>
      </bottom>
      <diagonal/>
    </border>
    <border>
      <left/>
      <right style="hair">
        <color rgb="FFB7B7B7"/>
      </right>
      <top style="hair">
        <color rgb="FFB7B7B7"/>
      </top>
      <bottom style="thin">
        <color rgb="FF000000"/>
      </bottom>
      <diagonal/>
    </border>
    <border>
      <left style="hair">
        <color rgb="FFB7B7B7"/>
      </left>
      <right style="hair">
        <color rgb="FFB7B7B7"/>
      </right>
      <top style="hair">
        <color rgb="FFB7B7B7"/>
      </top>
      <bottom style="thin">
        <color rgb="FF000000"/>
      </bottom>
      <diagonal/>
    </border>
    <border>
      <left style="hair">
        <color rgb="FFB7B7B7"/>
      </left>
      <right style="thin">
        <color rgb="FF000000"/>
      </right>
      <top style="hair">
        <color rgb="FFB7B7B7"/>
      </top>
      <bottom style="thin">
        <color rgb="FF000000"/>
      </bottom>
      <diagonal/>
    </border>
    <border>
      <left style="thin">
        <color rgb="FF000000"/>
      </left>
      <right style="thin">
        <color rgb="FF000000"/>
      </right>
      <top style="hair">
        <color rgb="FFB7B7B7"/>
      </top>
      <bottom/>
      <diagonal/>
    </border>
    <border>
      <left/>
      <right style="hair">
        <color rgb="FFB7B7B7"/>
      </right>
      <top style="hair">
        <color rgb="FFB7B7B7"/>
      </top>
      <bottom/>
      <diagonal/>
    </border>
    <border>
      <left style="hair">
        <color rgb="FFB7B7B7"/>
      </left>
      <right style="hair">
        <color rgb="FFB7B7B7"/>
      </right>
      <top style="hair">
        <color rgb="FFB7B7B7"/>
      </top>
      <bottom/>
      <diagonal/>
    </border>
    <border>
      <left style="hair">
        <color rgb="FFB7B7B7"/>
      </left>
      <right style="thin">
        <color rgb="FF000000"/>
      </right>
      <top style="hair">
        <color rgb="FFB7B7B7"/>
      </top>
      <bottom/>
      <diagonal/>
    </border>
    <border>
      <left/>
      <right style="hair">
        <color rgb="FFB7B7B7"/>
      </right>
      <top style="thin">
        <color rgb="FF000000"/>
      </top>
      <bottom style="dotted">
        <color rgb="FFB7B7B7"/>
      </bottom>
      <diagonal/>
    </border>
    <border>
      <left style="hair">
        <color rgb="FFB7B7B7"/>
      </left>
      <right style="hair">
        <color rgb="FFB7B7B7"/>
      </right>
      <top style="thin">
        <color rgb="FF000000"/>
      </top>
      <bottom style="dotted">
        <color rgb="FFB7B7B7"/>
      </bottom>
      <diagonal/>
    </border>
    <border>
      <left style="hair">
        <color rgb="FFB7B7B7"/>
      </left>
      <right style="thin">
        <color rgb="FF000000"/>
      </right>
      <top style="thin">
        <color rgb="FF000000"/>
      </top>
      <bottom style="dotted">
        <color rgb="FFB7B7B7"/>
      </bottom>
      <diagonal/>
    </border>
    <border>
      <left style="hair">
        <color rgb="FFB7B7B7"/>
      </left>
      <right/>
      <top style="hair">
        <color rgb="FFB7B7B7"/>
      </top>
      <bottom/>
      <diagonal/>
    </border>
    <border>
      <left/>
      <right style="thin">
        <color theme="1"/>
      </right>
      <top/>
      <bottom/>
      <diagonal/>
    </border>
    <border>
      <left style="thin">
        <color rgb="FF000000"/>
      </left>
      <right style="thin">
        <color theme="1"/>
      </right>
      <top/>
      <bottom/>
      <diagonal/>
    </border>
    <border>
      <left style="thin">
        <color rgb="FF000000"/>
      </left>
      <right style="thin">
        <color theme="1"/>
      </right>
      <top/>
      <bottom style="medium">
        <color rgb="FF000000"/>
      </bottom>
      <diagonal/>
    </border>
    <border>
      <left/>
      <right style="thin">
        <color theme="1"/>
      </right>
      <top/>
      <bottom style="hair">
        <color rgb="FFB7B7B7"/>
      </bottom>
      <diagonal/>
    </border>
    <border>
      <left/>
      <right style="thin">
        <color theme="1"/>
      </right>
      <top style="hair">
        <color rgb="FFB7B7B7"/>
      </top>
      <bottom style="hair">
        <color rgb="FFB7B7B7"/>
      </bottom>
      <diagonal/>
    </border>
    <border>
      <left/>
      <right style="thin">
        <color theme="1"/>
      </right>
      <top style="hair">
        <color rgb="FFB7B7B7"/>
      </top>
      <bottom style="dotted">
        <color rgb="FFB7B7B7"/>
      </bottom>
      <diagonal/>
    </border>
    <border>
      <left/>
      <right style="thin">
        <color theme="1"/>
      </right>
      <top style="dotted">
        <color rgb="FFB7B7B7"/>
      </top>
      <bottom style="hair">
        <color rgb="FFB7B7B7"/>
      </bottom>
      <diagonal/>
    </border>
    <border>
      <left/>
      <right style="thin">
        <color theme="1"/>
      </right>
      <top style="hair">
        <color rgb="FFB7B7B7"/>
      </top>
      <bottom style="thin">
        <color rgb="FF000000"/>
      </bottom>
      <diagonal/>
    </border>
    <border>
      <left/>
      <right style="thin">
        <color theme="1"/>
      </right>
      <top style="hair">
        <color rgb="FFB7B7B7"/>
      </top>
      <bottom/>
      <diagonal/>
    </border>
    <border>
      <left/>
      <right style="thin">
        <color theme="1"/>
      </right>
      <top style="thin">
        <color rgb="FF000000"/>
      </top>
      <bottom style="dotted">
        <color rgb="FFB7B7B7"/>
      </bottom>
      <diagonal/>
    </border>
  </borders>
  <cellStyleXfs count="1">
    <xf numFmtId="0" fontId="0" fillId="0" borderId="0"/>
  </cellStyleXfs>
  <cellXfs count="123">
    <xf numFmtId="0" fontId="0" fillId="0" borderId="0" xfId="0"/>
    <xf numFmtId="0" fontId="3" fillId="0" borderId="6" xfId="0" applyFont="1" applyBorder="1" applyAlignment="1">
      <alignment horizontal="center" vertical="center"/>
    </xf>
    <xf numFmtId="0" fontId="5" fillId="0" borderId="0" xfId="0" applyFont="1" applyAlignment="1">
      <alignment wrapText="1"/>
    </xf>
    <xf numFmtId="0" fontId="6" fillId="0" borderId="0" xfId="0" applyFont="1"/>
    <xf numFmtId="0" fontId="6" fillId="0" borderId="0" xfId="0" applyFont="1" applyAlignment="1">
      <alignment vertical="center" wrapText="1"/>
    </xf>
    <xf numFmtId="0" fontId="6" fillId="0" borderId="0" xfId="0" applyFont="1" applyAlignment="1">
      <alignment horizontal="center"/>
    </xf>
    <xf numFmtId="0" fontId="7" fillId="2" borderId="6" xfId="0" applyFont="1" applyFill="1" applyBorder="1" applyAlignment="1">
      <alignment horizontal="left" vertical="center"/>
    </xf>
    <xf numFmtId="0" fontId="8" fillId="3" borderId="0" xfId="0" applyFont="1" applyFill="1" applyAlignment="1">
      <alignment horizontal="left" vertical="center"/>
    </xf>
    <xf numFmtId="0" fontId="9" fillId="0" borderId="6" xfId="0" applyFont="1" applyBorder="1" applyAlignment="1">
      <alignment horizontal="left" vertical="center" wrapText="1"/>
    </xf>
    <xf numFmtId="0" fontId="9" fillId="0" borderId="0" xfId="0" applyFont="1"/>
    <xf numFmtId="0" fontId="9" fillId="0" borderId="0" xfId="0" applyFont="1" applyAlignment="1">
      <alignment wrapText="1"/>
    </xf>
    <xf numFmtId="0" fontId="3" fillId="0" borderId="0" xfId="0" applyFont="1" applyAlignment="1">
      <alignment horizontal="center" vertical="center"/>
    </xf>
    <xf numFmtId="0" fontId="9" fillId="0" borderId="0" xfId="0" applyFont="1" applyAlignment="1">
      <alignment horizontal="left" vertical="center" wrapText="1"/>
    </xf>
    <xf numFmtId="0" fontId="4" fillId="0" borderId="14" xfId="0" applyFont="1" applyBorder="1" applyAlignment="1">
      <alignment wrapText="1"/>
    </xf>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1" fillId="0" borderId="15" xfId="0" applyFont="1" applyBorder="1" applyAlignment="1">
      <alignment horizontal="center" vertical="center"/>
    </xf>
    <xf numFmtId="0" fontId="11" fillId="0" borderId="15" xfId="0" applyFont="1" applyBorder="1" applyAlignment="1">
      <alignment vertical="center" wrapText="1"/>
    </xf>
    <xf numFmtId="0" fontId="11" fillId="0" borderId="0" xfId="0" applyFont="1" applyAlignment="1">
      <alignment horizontal="center" vertical="center"/>
    </xf>
    <xf numFmtId="0" fontId="11" fillId="0" borderId="7" xfId="0" applyFont="1" applyBorder="1"/>
    <xf numFmtId="0" fontId="12" fillId="0" borderId="12" xfId="0" applyFont="1" applyBorder="1" applyAlignment="1">
      <alignment horizontal="center" wrapText="1"/>
    </xf>
    <xf numFmtId="0" fontId="11" fillId="0" borderId="0" xfId="0" applyFont="1" applyAlignment="1">
      <alignment horizontal="left" vertical="center"/>
    </xf>
    <xf numFmtId="0" fontId="11" fillId="0" borderId="16" xfId="0" applyFont="1" applyBorder="1" applyAlignment="1">
      <alignment horizontal="center" vertical="center"/>
    </xf>
    <xf numFmtId="0" fontId="11" fillId="0" borderId="16" xfId="0" applyFont="1" applyBorder="1" applyAlignment="1">
      <alignment vertical="center" wrapText="1"/>
    </xf>
    <xf numFmtId="0" fontId="14" fillId="0" borderId="17" xfId="0" applyFont="1" applyBorder="1" applyAlignment="1">
      <alignment horizontal="left" vertical="center" textRotation="90"/>
    </xf>
    <xf numFmtId="0" fontId="14"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1" fillId="0" borderId="17" xfId="0" applyFont="1" applyBorder="1" applyAlignment="1">
      <alignment horizontal="left" vertical="center"/>
    </xf>
    <xf numFmtId="0" fontId="11" fillId="0" borderId="20" xfId="0" applyFont="1" applyBorder="1" applyAlignment="1">
      <alignment horizontal="center" vertical="center"/>
    </xf>
    <xf numFmtId="0" fontId="11" fillId="0" borderId="20" xfId="0" applyFont="1" applyBorder="1" applyAlignment="1">
      <alignment vertical="center" wrapText="1"/>
    </xf>
    <xf numFmtId="0" fontId="14" fillId="0" borderId="21"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1" fillId="0" borderId="21" xfId="0" applyFont="1" applyBorder="1" applyAlignment="1">
      <alignment horizontal="left" vertical="center"/>
    </xf>
    <xf numFmtId="0" fontId="11" fillId="0" borderId="24" xfId="0" applyFont="1" applyBorder="1" applyAlignment="1">
      <alignment horizontal="center" vertical="center"/>
    </xf>
    <xf numFmtId="0" fontId="11" fillId="0" borderId="24" xfId="0" applyFont="1" applyBorder="1" applyAlignment="1">
      <alignment vertical="center" wrapText="1"/>
    </xf>
    <xf numFmtId="0" fontId="14" fillId="0" borderId="25"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1" fillId="0" borderId="25" xfId="0" applyFont="1" applyBorder="1" applyAlignment="1">
      <alignment horizontal="left" vertical="center"/>
    </xf>
    <xf numFmtId="0" fontId="11" fillId="0" borderId="28" xfId="0" applyFont="1" applyBorder="1" applyAlignment="1">
      <alignment horizontal="center" vertical="center"/>
    </xf>
    <xf numFmtId="0" fontId="11" fillId="0" borderId="28" xfId="0" applyFont="1" applyBorder="1" applyAlignment="1">
      <alignment vertical="center" wrapText="1"/>
    </xf>
    <xf numFmtId="0" fontId="14" fillId="0" borderId="29" xfId="0" applyFont="1" applyBorder="1" applyAlignment="1">
      <alignment horizontal="left" vertical="center" textRotation="90"/>
    </xf>
    <xf numFmtId="0" fontId="14" fillId="0" borderId="30" xfId="0" applyFont="1" applyBorder="1" applyAlignment="1">
      <alignment horizontal="left" vertical="center" textRotation="90"/>
    </xf>
    <xf numFmtId="0" fontId="14" fillId="0" borderId="31" xfId="0" applyFont="1" applyBorder="1" applyAlignment="1">
      <alignment horizontal="left" vertical="center" textRotation="90"/>
    </xf>
    <xf numFmtId="0" fontId="11" fillId="0" borderId="29" xfId="0" applyFont="1" applyBorder="1" applyAlignment="1">
      <alignment horizontal="left" vertical="center"/>
    </xf>
    <xf numFmtId="0" fontId="13" fillId="0" borderId="29" xfId="0" applyFont="1" applyBorder="1" applyAlignment="1">
      <alignment horizontal="left" vertical="center" textRotation="90"/>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21" xfId="0" applyFont="1" applyBorder="1" applyAlignment="1">
      <alignment horizontal="left" vertical="center" textRotation="90"/>
    </xf>
    <xf numFmtId="0" fontId="13" fillId="0" borderId="22"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5" xfId="0" applyFont="1" applyBorder="1" applyAlignment="1">
      <alignment horizontal="left" vertical="center" textRotation="90"/>
    </xf>
    <xf numFmtId="0" fontId="13" fillId="0" borderId="26" xfId="0" applyFont="1" applyBorder="1" applyAlignment="1">
      <alignment horizontal="left" vertical="center" textRotation="90"/>
    </xf>
    <xf numFmtId="0" fontId="11" fillId="0" borderId="32" xfId="0" applyFont="1" applyBorder="1" applyAlignment="1">
      <alignment horizontal="center" vertical="center"/>
    </xf>
    <xf numFmtId="0" fontId="11" fillId="0" borderId="32" xfId="0" applyFont="1" applyBorder="1" applyAlignment="1">
      <alignment vertical="center" wrapText="1"/>
    </xf>
    <xf numFmtId="0" fontId="14" fillId="0" borderId="33" xfId="0" applyFont="1" applyBorder="1" applyAlignment="1">
      <alignment horizontal="left" vertical="center" textRotation="90"/>
    </xf>
    <xf numFmtId="0" fontId="14" fillId="0" borderId="34" xfId="0" applyFont="1" applyBorder="1" applyAlignment="1">
      <alignment horizontal="left" vertical="center" textRotation="90"/>
    </xf>
    <xf numFmtId="0" fontId="13" fillId="0" borderId="35" xfId="0" applyFont="1" applyBorder="1" applyAlignment="1">
      <alignment horizontal="left" vertical="center" textRotation="90"/>
    </xf>
    <xf numFmtId="0" fontId="13" fillId="0" borderId="33" xfId="0" applyFont="1" applyBorder="1" applyAlignment="1">
      <alignment horizontal="left" vertical="center" textRotation="90"/>
    </xf>
    <xf numFmtId="0" fontId="13" fillId="0" borderId="34" xfId="0" applyFont="1" applyBorder="1" applyAlignment="1">
      <alignment horizontal="left" vertical="center" textRotation="90"/>
    </xf>
    <xf numFmtId="0" fontId="11" fillId="0" borderId="33" xfId="0" applyFont="1" applyBorder="1" applyAlignment="1">
      <alignment horizontal="left" vertical="center"/>
    </xf>
    <xf numFmtId="0" fontId="13" fillId="0" borderId="19" xfId="0" applyFont="1" applyBorder="1" applyAlignment="1">
      <alignment horizontal="left" vertical="center" textRotation="90"/>
    </xf>
    <xf numFmtId="0" fontId="13" fillId="0" borderId="17" xfId="0" applyFont="1" applyBorder="1" applyAlignment="1">
      <alignment horizontal="left" vertical="center" textRotation="90"/>
    </xf>
    <xf numFmtId="0" fontId="13" fillId="0" borderId="18" xfId="0" applyFont="1" applyBorder="1" applyAlignment="1">
      <alignment horizontal="left" vertical="center" textRotation="90"/>
    </xf>
    <xf numFmtId="0" fontId="14" fillId="0" borderId="35" xfId="0" applyFont="1" applyBorder="1" applyAlignment="1">
      <alignment horizontal="left" vertical="center" textRotation="90"/>
    </xf>
    <xf numFmtId="0" fontId="11" fillId="0" borderId="36" xfId="0" applyFont="1" applyBorder="1" applyAlignment="1">
      <alignment horizontal="center" vertical="center"/>
    </xf>
    <xf numFmtId="0" fontId="11" fillId="0" borderId="36" xfId="0" applyFont="1" applyBorder="1" applyAlignment="1">
      <alignment vertical="center" wrapText="1"/>
    </xf>
    <xf numFmtId="0" fontId="14" fillId="0" borderId="37" xfId="0" applyFont="1" applyBorder="1" applyAlignment="1">
      <alignment horizontal="left" vertical="center" textRotation="90"/>
    </xf>
    <xf numFmtId="0" fontId="14" fillId="0" borderId="38" xfId="0" applyFont="1" applyBorder="1" applyAlignment="1">
      <alignment horizontal="left" vertical="center" textRotation="90"/>
    </xf>
    <xf numFmtId="0" fontId="14" fillId="0" borderId="39" xfId="0" applyFont="1" applyBorder="1" applyAlignment="1">
      <alignment horizontal="left" vertical="center" textRotation="90"/>
    </xf>
    <xf numFmtId="0" fontId="11" fillId="0" borderId="37" xfId="0" applyFont="1" applyBorder="1" applyAlignment="1">
      <alignment horizontal="left" vertical="center"/>
    </xf>
    <xf numFmtId="0" fontId="14" fillId="0" borderId="40" xfId="0" applyFont="1" applyBorder="1" applyAlignment="1">
      <alignment horizontal="left" vertical="center" textRotation="90"/>
    </xf>
    <xf numFmtId="0" fontId="14" fillId="0" borderId="41" xfId="0" applyFont="1" applyBorder="1" applyAlignment="1">
      <alignment horizontal="left" vertical="center" textRotation="90"/>
    </xf>
    <xf numFmtId="0" fontId="14" fillId="0" borderId="42" xfId="0" applyFont="1" applyBorder="1" applyAlignment="1">
      <alignment horizontal="left" vertical="center" textRotation="90"/>
    </xf>
    <xf numFmtId="0" fontId="11" fillId="0" borderId="40" xfId="0" applyFont="1" applyBorder="1" applyAlignment="1">
      <alignment horizontal="left" vertical="center"/>
    </xf>
    <xf numFmtId="0" fontId="11" fillId="4" borderId="28" xfId="0" applyFont="1" applyFill="1" applyBorder="1" applyAlignment="1">
      <alignment horizontal="center" vertical="center"/>
    </xf>
    <xf numFmtId="0" fontId="11" fillId="4" borderId="28" xfId="0" applyFont="1" applyFill="1" applyBorder="1" applyAlignment="1">
      <alignment vertical="center" wrapText="1"/>
    </xf>
    <xf numFmtId="0" fontId="13" fillId="4" borderId="29" xfId="0" applyFont="1" applyFill="1" applyBorder="1" applyAlignment="1">
      <alignment horizontal="left" vertical="center" textRotation="90"/>
    </xf>
    <xf numFmtId="0" fontId="13" fillId="4" borderId="30" xfId="0" applyFont="1" applyFill="1" applyBorder="1" applyAlignment="1">
      <alignment horizontal="left" vertical="center" textRotation="90"/>
    </xf>
    <xf numFmtId="0" fontId="13" fillId="4" borderId="31" xfId="0" applyFont="1" applyFill="1" applyBorder="1" applyAlignment="1">
      <alignment horizontal="left" vertical="center" textRotation="90"/>
    </xf>
    <xf numFmtId="0" fontId="11" fillId="4" borderId="29" xfId="0" applyFont="1" applyFill="1" applyBorder="1" applyAlignment="1">
      <alignment horizontal="left" vertical="center"/>
    </xf>
    <xf numFmtId="0" fontId="13" fillId="0" borderId="37" xfId="0" applyFont="1" applyBorder="1" applyAlignment="1">
      <alignment horizontal="left" vertical="center" textRotation="90"/>
    </xf>
    <xf numFmtId="0" fontId="13" fillId="0" borderId="38" xfId="0" applyFont="1" applyBorder="1" applyAlignment="1">
      <alignment horizontal="left" vertical="center" textRotation="90"/>
    </xf>
    <xf numFmtId="0" fontId="13" fillId="0" borderId="39" xfId="0" applyFont="1" applyBorder="1" applyAlignment="1">
      <alignment horizontal="left" vertical="center" textRotation="90"/>
    </xf>
    <xf numFmtId="0" fontId="11" fillId="0" borderId="8" xfId="0" applyFont="1" applyBorder="1" applyAlignment="1">
      <alignment horizontal="center" vertical="center"/>
    </xf>
    <xf numFmtId="0" fontId="11" fillId="0" borderId="8" xfId="0" applyFont="1" applyBorder="1" applyAlignment="1">
      <alignment vertical="center" wrapText="1"/>
    </xf>
    <xf numFmtId="0" fontId="11" fillId="0" borderId="7" xfId="0" applyFont="1" applyBorder="1" applyAlignment="1">
      <alignment vertical="center" wrapText="1"/>
    </xf>
    <xf numFmtId="0" fontId="13" fillId="0" borderId="43" xfId="0" applyFont="1" applyBorder="1" applyAlignment="1">
      <alignment horizontal="left" vertical="center" textRotation="90"/>
    </xf>
    <xf numFmtId="0" fontId="13" fillId="0" borderId="8" xfId="0" applyFont="1" applyBorder="1" applyAlignment="1">
      <alignment horizontal="left" vertical="center" textRotation="90"/>
    </xf>
    <xf numFmtId="0" fontId="13" fillId="0" borderId="9" xfId="0" applyFont="1" applyBorder="1" applyAlignment="1">
      <alignment horizontal="left" vertical="center" textRotation="90"/>
    </xf>
    <xf numFmtId="0" fontId="11" fillId="0" borderId="9" xfId="0" applyFont="1" applyBorder="1" applyAlignment="1">
      <alignment horizontal="center" vertical="center"/>
    </xf>
    <xf numFmtId="0" fontId="11" fillId="0" borderId="9" xfId="0" applyFont="1" applyBorder="1" applyAlignment="1">
      <alignment vertical="center" wrapText="1"/>
    </xf>
    <xf numFmtId="0" fontId="11" fillId="0" borderId="0" xfId="0" applyFont="1"/>
    <xf numFmtId="0" fontId="11" fillId="0" borderId="45" xfId="0" applyFont="1" applyBorder="1" applyAlignment="1">
      <alignment wrapText="1"/>
    </xf>
    <xf numFmtId="0" fontId="12" fillId="0" borderId="46" xfId="0" applyFont="1" applyBorder="1" applyAlignment="1">
      <alignment horizont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4" borderId="50" xfId="0" applyFont="1" applyFill="1" applyBorder="1" applyAlignment="1">
      <alignment horizontal="left" vertical="center" wrapText="1"/>
    </xf>
    <xf numFmtId="0" fontId="11" fillId="0" borderId="44" xfId="0" applyFont="1" applyBorder="1" applyAlignment="1">
      <alignment horizontal="left" vertical="center" wrapText="1"/>
    </xf>
    <xf numFmtId="0" fontId="0" fillId="0" borderId="44" xfId="0" applyBorder="1" applyAlignment="1">
      <alignment wrapText="1"/>
    </xf>
    <xf numFmtId="0" fontId="7" fillId="2" borderId="1" xfId="0" applyFont="1" applyFill="1" applyBorder="1" applyAlignment="1">
      <alignment vertical="center" wrapText="1"/>
    </xf>
    <xf numFmtId="0" fontId="2" fillId="0" borderId="5" xfId="0" applyFont="1" applyBorder="1"/>
    <xf numFmtId="0" fontId="7" fillId="2" borderId="2" xfId="0" applyFont="1" applyFill="1" applyBorder="1" applyAlignment="1">
      <alignment horizontal="center"/>
    </xf>
    <xf numFmtId="0" fontId="2" fillId="0" borderId="3" xfId="0" applyFont="1" applyBorder="1"/>
    <xf numFmtId="0" fontId="2" fillId="0" borderId="4" xfId="0" applyFont="1" applyBorder="1"/>
    <xf numFmtId="0" fontId="10" fillId="0" borderId="0" xfId="0" applyFont="1" applyAlignment="1">
      <alignment wrapText="1"/>
    </xf>
    <xf numFmtId="0" fontId="0" fillId="0" borderId="0" xfId="0"/>
    <xf numFmtId="0" fontId="5" fillId="0" borderId="0" xfId="0" applyFont="1" applyAlignment="1">
      <alignment wrapText="1"/>
    </xf>
    <xf numFmtId="0" fontId="5" fillId="0" borderId="0" xfId="0" applyFont="1" applyAlignment="1">
      <alignment vertical="top" wrapText="1"/>
    </xf>
    <xf numFmtId="0" fontId="6" fillId="0" borderId="0" xfId="0" applyFont="1"/>
    <xf numFmtId="0" fontId="1" fillId="0" borderId="0" xfId="0" applyFont="1" applyAlignment="1">
      <alignment wrapText="1"/>
    </xf>
    <xf numFmtId="0" fontId="12" fillId="0" borderId="8" xfId="0" applyFont="1" applyBorder="1" applyAlignment="1">
      <alignment horizontal="center" wrapText="1"/>
    </xf>
    <xf numFmtId="0" fontId="2" fillId="0" borderId="9" xfId="0" applyFont="1" applyBorder="1"/>
    <xf numFmtId="0" fontId="12" fillId="0" borderId="0" xfId="0" applyFont="1" applyAlignment="1">
      <alignment horizontal="center" wrapText="1"/>
    </xf>
  </cellXfs>
  <cellStyles count="1">
    <cellStyle name="Normal" xfId="0" builtinId="0"/>
  </cellStyles>
  <dxfs count="6">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CD2355"/>
      </font>
      <fill>
        <patternFill patternType="solid">
          <fgColor rgb="FFCD2355"/>
          <bgColor rgb="FFCD2355"/>
        </patternFill>
      </fill>
    </dxf>
    <dxf>
      <font>
        <color rgb="FF46AF4B"/>
      </font>
      <fill>
        <patternFill patternType="solid">
          <fgColor rgb="FF46AF4B"/>
          <bgColor rgb="FF46AF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13</xdr:row>
      <xdr:rowOff>523875</xdr:rowOff>
    </xdr:from>
    <xdr:ext cx="5172075" cy="733425"/>
    <xdr:pic>
      <xdr:nvPicPr>
        <xdr:cNvPr id="2" name="image3.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0</xdr:row>
      <xdr:rowOff>190500</xdr:rowOff>
    </xdr:from>
    <xdr:ext cx="2257425" cy="685800"/>
    <xdr:pic>
      <xdr:nvPicPr>
        <xdr:cNvPr id="3" name="image2.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he-cc.io/"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1000"/>
  <sheetViews>
    <sheetView showGridLines="0" tabSelected="1" workbookViewId="0">
      <selection activeCell="N6" sqref="N6"/>
    </sheetView>
  </sheetViews>
  <sheetFormatPr baseColWidth="10" defaultColWidth="12.6640625" defaultRowHeight="15.75" customHeight="1"/>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c r="A1" s="3"/>
      <c r="B1" s="3"/>
      <c r="C1" s="3"/>
      <c r="D1" s="3"/>
      <c r="E1" s="3"/>
      <c r="F1" s="3"/>
      <c r="G1" s="4"/>
      <c r="H1" s="4"/>
      <c r="I1" s="3"/>
      <c r="J1" s="5"/>
      <c r="K1" s="5"/>
      <c r="L1" s="5"/>
    </row>
    <row r="2" spans="1:12" ht="15.75" customHeight="1">
      <c r="A2" s="3"/>
      <c r="B2" s="118"/>
      <c r="C2" s="118"/>
      <c r="D2" s="3"/>
      <c r="E2" s="119"/>
      <c r="F2" s="3"/>
      <c r="G2" s="4"/>
      <c r="H2" s="4"/>
      <c r="I2" s="3"/>
      <c r="J2" s="5"/>
      <c r="K2" s="5"/>
      <c r="L2" s="5"/>
    </row>
    <row r="3" spans="1:12" ht="15.75" customHeight="1">
      <c r="A3" s="3"/>
      <c r="B3" s="115"/>
      <c r="C3" s="115"/>
      <c r="D3" s="3"/>
      <c r="E3" s="115"/>
      <c r="F3" s="3"/>
      <c r="G3" s="4"/>
      <c r="H3" s="4"/>
      <c r="I3" s="3"/>
      <c r="J3" s="5"/>
      <c r="K3" s="5"/>
      <c r="L3" s="5"/>
    </row>
    <row r="4" spans="1:12" ht="15.75" customHeight="1">
      <c r="A4" s="3"/>
      <c r="B4" s="115"/>
      <c r="C4" s="115"/>
      <c r="D4" s="3"/>
      <c r="E4" s="115"/>
      <c r="F4" s="3"/>
      <c r="G4" s="109" t="s">
        <v>0</v>
      </c>
      <c r="H4" s="109" t="s">
        <v>1</v>
      </c>
      <c r="I4" s="3"/>
      <c r="J4" s="111" t="s">
        <v>1412</v>
      </c>
      <c r="K4" s="112"/>
      <c r="L4" s="113"/>
    </row>
    <row r="5" spans="1:12" ht="15.75" customHeight="1">
      <c r="A5" s="3"/>
      <c r="B5" s="115"/>
      <c r="C5" s="115"/>
      <c r="D5" s="3"/>
      <c r="E5" s="115"/>
      <c r="F5" s="3"/>
      <c r="G5" s="110"/>
      <c r="H5" s="110"/>
      <c r="I5" s="3"/>
      <c r="J5" s="6" t="s">
        <v>2</v>
      </c>
      <c r="K5" s="6" t="s">
        <v>3</v>
      </c>
      <c r="L5" s="6" t="s">
        <v>4</v>
      </c>
    </row>
    <row r="6" spans="1:12" ht="41.25" customHeight="1">
      <c r="A6" s="3"/>
      <c r="B6" s="7" t="s">
        <v>5</v>
      </c>
      <c r="C6" s="2"/>
      <c r="D6" s="2"/>
      <c r="E6" s="2"/>
      <c r="F6" s="3"/>
      <c r="G6" s="1">
        <v>4.0999999999999996</v>
      </c>
      <c r="H6" s="8" t="s">
        <v>38</v>
      </c>
      <c r="I6" s="3"/>
      <c r="J6" s="1" t="s">
        <v>6</v>
      </c>
      <c r="K6" s="8" t="s">
        <v>7</v>
      </c>
      <c r="L6" s="8" t="s">
        <v>8</v>
      </c>
    </row>
    <row r="7" spans="1:12" ht="41.25" customHeight="1">
      <c r="A7" s="3"/>
      <c r="B7" s="114" t="s">
        <v>39</v>
      </c>
      <c r="C7" s="115"/>
      <c r="D7" s="115"/>
      <c r="E7" s="115"/>
      <c r="F7" s="3"/>
      <c r="G7" s="1">
        <v>4.2</v>
      </c>
      <c r="H7" s="8" t="s">
        <v>40</v>
      </c>
      <c r="I7" s="3"/>
      <c r="J7" s="1" t="s">
        <v>9</v>
      </c>
      <c r="K7" s="8" t="s">
        <v>10</v>
      </c>
      <c r="L7" s="8" t="s">
        <v>11</v>
      </c>
    </row>
    <row r="8" spans="1:12" ht="41.25" customHeight="1">
      <c r="A8" s="3"/>
      <c r="B8" s="115"/>
      <c r="C8" s="115"/>
      <c r="D8" s="115"/>
      <c r="E8" s="115"/>
      <c r="F8" s="3"/>
      <c r="G8" s="1">
        <v>4.3</v>
      </c>
      <c r="H8" s="8" t="s">
        <v>41</v>
      </c>
      <c r="I8" s="9"/>
      <c r="J8" s="1" t="s">
        <v>12</v>
      </c>
      <c r="K8" s="8" t="s">
        <v>13</v>
      </c>
      <c r="L8" s="8" t="s">
        <v>14</v>
      </c>
    </row>
    <row r="9" spans="1:12" ht="41.25" customHeight="1">
      <c r="A9" s="9"/>
      <c r="B9" s="115"/>
      <c r="C9" s="115"/>
      <c r="D9" s="115"/>
      <c r="E9" s="115"/>
      <c r="F9" s="9"/>
      <c r="G9" s="11"/>
      <c r="H9" s="12"/>
      <c r="I9" s="9"/>
      <c r="J9" s="1" t="s">
        <v>15</v>
      </c>
      <c r="K9" s="8" t="s">
        <v>16</v>
      </c>
      <c r="L9" s="8" t="s">
        <v>17</v>
      </c>
    </row>
    <row r="10" spans="1:12" ht="41.25" customHeight="1">
      <c r="A10" s="9"/>
      <c r="B10" s="115"/>
      <c r="C10" s="115"/>
      <c r="D10" s="115"/>
      <c r="E10" s="115"/>
      <c r="F10" s="9"/>
      <c r="G10" s="11"/>
      <c r="H10" s="12"/>
      <c r="I10" s="9"/>
      <c r="J10" s="1" t="s">
        <v>18</v>
      </c>
      <c r="K10" s="8" t="s">
        <v>19</v>
      </c>
      <c r="L10" s="8" t="s">
        <v>20</v>
      </c>
    </row>
    <row r="11" spans="1:12" ht="41.25" customHeight="1">
      <c r="A11" s="9"/>
      <c r="B11" s="115"/>
      <c r="C11" s="115"/>
      <c r="D11" s="115"/>
      <c r="E11" s="115"/>
      <c r="F11" s="9"/>
      <c r="G11" s="11"/>
      <c r="H11" s="12"/>
      <c r="I11" s="9"/>
      <c r="J11" s="1" t="s">
        <v>21</v>
      </c>
      <c r="K11" s="8" t="s">
        <v>22</v>
      </c>
      <c r="L11" s="8" t="s">
        <v>23</v>
      </c>
    </row>
    <row r="12" spans="1:12" ht="41.25" customHeight="1">
      <c r="A12" s="9"/>
      <c r="B12" s="115"/>
      <c r="C12" s="115"/>
      <c r="D12" s="115"/>
      <c r="E12" s="115"/>
      <c r="F12" s="9"/>
      <c r="G12" s="9"/>
      <c r="H12" s="9"/>
      <c r="I12" s="9"/>
      <c r="J12" s="1" t="s">
        <v>24</v>
      </c>
      <c r="K12" s="8" t="s">
        <v>25</v>
      </c>
      <c r="L12" s="8" t="s">
        <v>26</v>
      </c>
    </row>
    <row r="13" spans="1:12" ht="41.25" customHeight="1">
      <c r="A13" s="9"/>
      <c r="B13" s="115"/>
      <c r="C13" s="115"/>
      <c r="D13" s="115"/>
      <c r="E13" s="115"/>
      <c r="F13" s="9"/>
      <c r="G13" s="9"/>
      <c r="H13" s="9"/>
      <c r="I13" s="9"/>
      <c r="J13" s="1" t="s">
        <v>27</v>
      </c>
      <c r="K13" s="8" t="s">
        <v>28</v>
      </c>
      <c r="L13" s="8" t="s">
        <v>29</v>
      </c>
    </row>
    <row r="14" spans="1:12" ht="41.25" customHeight="1">
      <c r="A14" s="9"/>
      <c r="B14" s="116" t="s">
        <v>30</v>
      </c>
      <c r="C14" s="115"/>
      <c r="D14" s="115"/>
      <c r="E14" s="115"/>
      <c r="F14" s="9"/>
      <c r="G14" s="9"/>
      <c r="H14" s="10"/>
      <c r="I14" s="9"/>
      <c r="J14" s="1" t="s">
        <v>31</v>
      </c>
      <c r="K14" s="8" t="s">
        <v>32</v>
      </c>
      <c r="L14" s="8" t="s">
        <v>33</v>
      </c>
    </row>
    <row r="15" spans="1:12" ht="41.25" customHeight="1">
      <c r="A15" s="9"/>
      <c r="B15" s="117"/>
      <c r="C15" s="115"/>
      <c r="D15" s="115"/>
      <c r="E15" s="115"/>
      <c r="F15" s="9"/>
      <c r="G15" s="9"/>
      <c r="H15" s="10"/>
      <c r="I15" s="9"/>
      <c r="J15" s="1" t="s">
        <v>34</v>
      </c>
      <c r="K15" s="8" t="s">
        <v>35</v>
      </c>
      <c r="L15" s="8" t="s">
        <v>36</v>
      </c>
    </row>
    <row r="16" spans="1:12" ht="41.25" customHeight="1">
      <c r="A16" s="9"/>
      <c r="B16" s="115"/>
      <c r="C16" s="115"/>
      <c r="D16" s="115"/>
      <c r="E16" s="115"/>
      <c r="F16" s="9"/>
      <c r="G16" s="9"/>
      <c r="H16" s="10"/>
      <c r="I16" s="9"/>
      <c r="J16" s="9"/>
      <c r="K16" s="9"/>
      <c r="L16" s="9"/>
    </row>
    <row r="17" ht="13"/>
    <row r="18" ht="13"/>
    <row r="19" ht="13"/>
    <row r="20" ht="13"/>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
    <row r="93" ht="13"/>
    <row r="94" ht="13"/>
    <row r="95" ht="13"/>
    <row r="96" ht="13"/>
    <row r="97" ht="13"/>
    <row r="98" ht="13"/>
    <row r="99" ht="13"/>
    <row r="100" ht="13"/>
    <row r="101" ht="13"/>
    <row r="102" ht="13"/>
    <row r="103" ht="13"/>
    <row r="104" ht="13"/>
    <row r="105" ht="13"/>
    <row r="106" ht="13"/>
    <row r="107" ht="13"/>
    <row r="108" ht="13"/>
    <row r="109" ht="13"/>
    <row r="110" ht="13"/>
    <row r="111" ht="13"/>
    <row r="112" ht="13"/>
    <row r="113" ht="13"/>
    <row r="114" ht="13"/>
    <row r="115" ht="13"/>
    <row r="116" ht="13"/>
    <row r="117" ht="13"/>
    <row r="118" ht="13"/>
    <row r="119" ht="13"/>
    <row r="120" ht="13"/>
    <row r="121" ht="13"/>
    <row r="122" ht="13"/>
    <row r="123" ht="13"/>
    <row r="124" ht="13"/>
    <row r="125" ht="13"/>
    <row r="126" ht="13"/>
    <row r="127" ht="13"/>
    <row r="128" ht="13"/>
    <row r="129" ht="13"/>
    <row r="130" ht="13"/>
    <row r="131" ht="13"/>
    <row r="132" ht="13"/>
    <row r="133" ht="13"/>
    <row r="134" ht="13"/>
    <row r="135" ht="13"/>
    <row r="136" ht="13"/>
    <row r="137" ht="13"/>
    <row r="138" ht="13"/>
    <row r="139" ht="13"/>
    <row r="140" ht="13"/>
    <row r="141" ht="13"/>
    <row r="142" ht="13"/>
    <row r="143" ht="13"/>
    <row r="144" ht="13"/>
    <row r="145" ht="13"/>
    <row r="146" ht="13"/>
    <row r="147" ht="13"/>
    <row r="148" ht="13"/>
    <row r="149" ht="13"/>
    <row r="150" ht="13"/>
    <row r="151" ht="13"/>
    <row r="152" ht="13"/>
    <row r="153" ht="13"/>
    <row r="154" ht="13"/>
    <row r="155" ht="13"/>
    <row r="156" ht="13"/>
    <row r="157" ht="13"/>
    <row r="158" ht="13"/>
    <row r="159" ht="13"/>
    <row r="160" ht="13"/>
    <row r="161" ht="13"/>
    <row r="162" ht="13"/>
    <row r="163" ht="13"/>
    <row r="164" ht="13"/>
    <row r="165" ht="13"/>
    <row r="166" ht="13"/>
    <row r="167" ht="13"/>
    <row r="168" ht="13"/>
    <row r="169" ht="13"/>
    <row r="170" ht="13"/>
    <row r="171" ht="13"/>
    <row r="172" ht="13"/>
    <row r="173" ht="13"/>
    <row r="174" ht="13"/>
    <row r="175" ht="13"/>
    <row r="176" ht="13"/>
    <row r="177" ht="13"/>
    <row r="178" ht="13"/>
    <row r="179" ht="13"/>
    <row r="180" ht="13"/>
    <row r="181" ht="13"/>
    <row r="182" ht="13"/>
    <row r="183" ht="13"/>
    <row r="184" ht="13"/>
    <row r="185" ht="13"/>
    <row r="186" ht="13"/>
    <row r="187" ht="13"/>
    <row r="188" ht="13"/>
    <row r="189" ht="13"/>
    <row r="190" ht="13"/>
    <row r="191" ht="13"/>
    <row r="192" ht="13"/>
    <row r="193" ht="13"/>
    <row r="194" ht="13"/>
    <row r="195" ht="13"/>
    <row r="196" ht="13"/>
    <row r="197" ht="13"/>
    <row r="198" ht="13"/>
    <row r="199" ht="13"/>
    <row r="200" ht="13"/>
    <row r="201" ht="13"/>
    <row r="202" ht="13"/>
    <row r="203" ht="13"/>
    <row r="204" ht="13"/>
    <row r="205" ht="13"/>
    <row r="206" ht="13"/>
    <row r="207" ht="13"/>
    <row r="208" ht="13"/>
    <row r="209" ht="13"/>
    <row r="210" ht="13"/>
    <row r="211" ht="13"/>
    <row r="212" ht="13"/>
    <row r="213" ht="13"/>
    <row r="214" ht="13"/>
    <row r="215" ht="13"/>
    <row r="216" ht="13"/>
    <row r="217" ht="13"/>
    <row r="218" ht="13"/>
    <row r="219" ht="13"/>
    <row r="220" ht="13"/>
    <row r="221" ht="13"/>
    <row r="222" ht="13"/>
    <row r="223" ht="13"/>
    <row r="224" ht="13"/>
    <row r="225" ht="13"/>
    <row r="226" ht="13"/>
    <row r="227" ht="13"/>
    <row r="228" ht="13"/>
    <row r="229" ht="13"/>
    <row r="230" ht="13"/>
    <row r="231" ht="13"/>
    <row r="232" ht="13"/>
    <row r="233" ht="13"/>
    <row r="234" ht="13"/>
    <row r="235" ht="13"/>
    <row r="236" ht="13"/>
    <row r="237" ht="13"/>
    <row r="238" ht="13"/>
    <row r="239" ht="13"/>
    <row r="240" ht="13"/>
    <row r="241" ht="13"/>
    <row r="242" ht="13"/>
    <row r="243" ht="13"/>
    <row r="244" ht="13"/>
    <row r="245" ht="13"/>
    <row r="246" ht="13"/>
    <row r="247" ht="13"/>
    <row r="248" ht="13"/>
    <row r="249" ht="13"/>
    <row r="250" ht="13"/>
    <row r="251" ht="13"/>
    <row r="252" ht="13"/>
    <row r="253" ht="13"/>
    <row r="254" ht="13"/>
    <row r="255" ht="13"/>
    <row r="256" ht="13"/>
    <row r="257" ht="13"/>
    <row r="258" ht="13"/>
    <row r="259" ht="13"/>
    <row r="260" ht="13"/>
    <row r="261" ht="13"/>
    <row r="262" ht="13"/>
    <row r="263" ht="13"/>
    <row r="264" ht="13"/>
    <row r="265" ht="13"/>
    <row r="266" ht="13"/>
    <row r="267" ht="13"/>
    <row r="268" ht="13"/>
    <row r="269" ht="13"/>
    <row r="270" ht="13"/>
    <row r="271" ht="13"/>
    <row r="272" ht="13"/>
    <row r="273" ht="13"/>
    <row r="274" ht="13"/>
    <row r="275" ht="13"/>
    <row r="276" ht="13"/>
    <row r="277" ht="13"/>
    <row r="278" ht="13"/>
    <row r="279" ht="13"/>
    <row r="280" ht="13"/>
    <row r="281" ht="13"/>
    <row r="282" ht="13"/>
    <row r="283" ht="13"/>
    <row r="284" ht="13"/>
    <row r="285" ht="13"/>
    <row r="286" ht="13"/>
    <row r="287" ht="13"/>
    <row r="288" ht="13"/>
    <row r="289" ht="13"/>
    <row r="290" ht="13"/>
    <row r="291" ht="13"/>
    <row r="292" ht="13"/>
    <row r="293" ht="13"/>
    <row r="294" ht="13"/>
    <row r="295" ht="13"/>
    <row r="296" ht="13"/>
    <row r="297" ht="13"/>
    <row r="298" ht="13"/>
    <row r="299" ht="13"/>
    <row r="300" ht="13"/>
    <row r="301" ht="13"/>
    <row r="302" ht="13"/>
    <row r="303" ht="13"/>
    <row r="304" ht="13"/>
    <row r="305" ht="13"/>
    <row r="306" ht="13"/>
    <row r="307" ht="13"/>
    <row r="308" ht="13"/>
    <row r="309" ht="13"/>
    <row r="310" ht="13"/>
    <row r="311" ht="13"/>
    <row r="312" ht="13"/>
    <row r="313" ht="13"/>
    <row r="314" ht="13"/>
    <row r="315" ht="13"/>
    <row r="316" ht="13"/>
    <row r="317" ht="13"/>
    <row r="318" ht="13"/>
    <row r="319" ht="13"/>
    <row r="320" ht="13"/>
    <row r="321" ht="13"/>
    <row r="322" ht="13"/>
    <row r="323" ht="13"/>
    <row r="324" ht="13"/>
    <row r="325" ht="13"/>
    <row r="326" ht="13"/>
    <row r="327" ht="13"/>
    <row r="328" ht="13"/>
    <row r="329" ht="13"/>
    <row r="330" ht="13"/>
    <row r="331" ht="13"/>
    <row r="332" ht="13"/>
    <row r="333" ht="13"/>
    <row r="334" ht="13"/>
    <row r="335" ht="13"/>
    <row r="336" ht="13"/>
    <row r="337" ht="13"/>
    <row r="338" ht="13"/>
    <row r="339" ht="13"/>
    <row r="340" ht="13"/>
    <row r="341" ht="13"/>
    <row r="342" ht="13"/>
    <row r="343" ht="13"/>
    <row r="344" ht="13"/>
    <row r="345" ht="13"/>
    <row r="346" ht="13"/>
    <row r="347" ht="13"/>
    <row r="348" ht="13"/>
    <row r="349" ht="13"/>
    <row r="350" ht="13"/>
    <row r="351" ht="13"/>
    <row r="352" ht="13"/>
    <row r="353" ht="13"/>
    <row r="354" ht="13"/>
    <row r="355" ht="13"/>
    <row r="356" ht="13"/>
    <row r="357" ht="13"/>
    <row r="358" ht="13"/>
    <row r="359" ht="13"/>
    <row r="360" ht="13"/>
    <row r="361" ht="13"/>
    <row r="362" ht="13"/>
    <row r="363" ht="13"/>
    <row r="364" ht="13"/>
    <row r="365" ht="13"/>
    <row r="366" ht="13"/>
    <row r="367" ht="13"/>
    <row r="368" ht="13"/>
    <row r="369" ht="13"/>
    <row r="370" ht="13"/>
    <row r="371" ht="13"/>
    <row r="372" ht="13"/>
    <row r="373" ht="13"/>
    <row r="374" ht="13"/>
    <row r="375" ht="13"/>
    <row r="376" ht="13"/>
    <row r="377" ht="13"/>
    <row r="378" ht="13"/>
    <row r="379" ht="13"/>
    <row r="380" ht="13"/>
    <row r="381" ht="13"/>
    <row r="382" ht="13"/>
    <row r="383" ht="13"/>
    <row r="384" ht="13"/>
    <row r="385" ht="13"/>
    <row r="386" ht="13"/>
    <row r="387" ht="13"/>
    <row r="388" ht="13"/>
    <row r="389" ht="13"/>
    <row r="390" ht="13"/>
    <row r="391" ht="13"/>
    <row r="392" ht="13"/>
    <row r="393" ht="13"/>
    <row r="394" ht="13"/>
    <row r="395" ht="13"/>
    <row r="396" ht="13"/>
    <row r="397" ht="13"/>
    <row r="398" ht="13"/>
    <row r="399" ht="13"/>
    <row r="400" ht="13"/>
    <row r="401" ht="13"/>
    <row r="402" ht="13"/>
    <row r="403" ht="13"/>
    <row r="404" ht="13"/>
    <row r="405" ht="13"/>
    <row r="406" ht="13"/>
    <row r="407" ht="13"/>
    <row r="408" ht="13"/>
    <row r="409" ht="13"/>
    <row r="410" ht="13"/>
    <row r="411" ht="13"/>
    <row r="412" ht="13"/>
    <row r="413" ht="13"/>
    <row r="414" ht="13"/>
    <row r="415" ht="13"/>
    <row r="416" ht="13"/>
    <row r="417" ht="13"/>
    <row r="418" ht="13"/>
    <row r="419" ht="13"/>
    <row r="420" ht="13"/>
    <row r="421" ht="13"/>
    <row r="422" ht="13"/>
    <row r="423" ht="13"/>
    <row r="424" ht="13"/>
    <row r="425" ht="13"/>
    <row r="426" ht="13"/>
    <row r="427" ht="13"/>
    <row r="428" ht="13"/>
    <row r="429" ht="13"/>
    <row r="430" ht="13"/>
    <row r="431" ht="13"/>
    <row r="432" ht="13"/>
    <row r="433" ht="13"/>
    <row r="434" ht="13"/>
    <row r="435" ht="13"/>
    <row r="436" ht="13"/>
    <row r="437" ht="13"/>
    <row r="438" ht="13"/>
    <row r="439" ht="13"/>
    <row r="440" ht="13"/>
    <row r="441" ht="13"/>
    <row r="442" ht="13"/>
    <row r="443" ht="13"/>
    <row r="444" ht="13"/>
    <row r="445" ht="13"/>
    <row r="446" ht="13"/>
    <row r="447" ht="13"/>
    <row r="448" ht="13"/>
    <row r="449" ht="13"/>
    <row r="450" ht="13"/>
    <row r="451" ht="13"/>
    <row r="452" ht="13"/>
    <row r="453" ht="13"/>
    <row r="454" ht="13"/>
    <row r="455" ht="13"/>
    <row r="456" ht="13"/>
    <row r="457" ht="13"/>
    <row r="458" ht="13"/>
    <row r="459" ht="13"/>
    <row r="460" ht="13"/>
    <row r="461" ht="13"/>
    <row r="462" ht="13"/>
    <row r="463" ht="13"/>
    <row r="464" ht="13"/>
    <row r="465" ht="13"/>
    <row r="466" ht="13"/>
    <row r="467" ht="13"/>
    <row r="468" ht="13"/>
    <row r="469" ht="13"/>
    <row r="470" ht="13"/>
    <row r="471" ht="13"/>
    <row r="472" ht="13"/>
    <row r="473" ht="13"/>
    <row r="474" ht="13"/>
    <row r="475" ht="13"/>
    <row r="476" ht="13"/>
    <row r="477" ht="13"/>
    <row r="478" ht="13"/>
    <row r="479" ht="13"/>
    <row r="480" ht="13"/>
    <row r="481" ht="13"/>
    <row r="482" ht="13"/>
    <row r="483" ht="13"/>
    <row r="484" ht="13"/>
    <row r="485" ht="13"/>
    <row r="486" ht="13"/>
    <row r="487" ht="13"/>
    <row r="488" ht="13"/>
    <row r="489" ht="13"/>
    <row r="490" ht="13"/>
    <row r="491" ht="13"/>
    <row r="492" ht="13"/>
    <row r="493" ht="13"/>
    <row r="494" ht="13"/>
    <row r="495" ht="13"/>
    <row r="496" ht="13"/>
    <row r="497" ht="13"/>
    <row r="498" ht="13"/>
    <row r="499" ht="13"/>
    <row r="500" ht="13"/>
    <row r="501" ht="13"/>
    <row r="502" ht="13"/>
    <row r="503" ht="13"/>
    <row r="504" ht="13"/>
    <row r="505" ht="13"/>
    <row r="506" ht="13"/>
    <row r="507" ht="13"/>
    <row r="508" ht="13"/>
    <row r="509" ht="13"/>
    <row r="510" ht="13"/>
    <row r="511" ht="13"/>
    <row r="512" ht="13"/>
    <row r="513" ht="13"/>
    <row r="514" ht="13"/>
    <row r="515" ht="13"/>
    <row r="516" ht="13"/>
    <row r="517" ht="13"/>
    <row r="518" ht="13"/>
    <row r="519" ht="13"/>
    <row r="520" ht="13"/>
    <row r="521" ht="13"/>
    <row r="522" ht="13"/>
    <row r="523" ht="13"/>
    <row r="524" ht="13"/>
    <row r="525" ht="13"/>
    <row r="526" ht="13"/>
    <row r="527" ht="13"/>
    <row r="528" ht="13"/>
    <row r="529" ht="13"/>
    <row r="530" ht="13"/>
    <row r="531" ht="13"/>
    <row r="532" ht="13"/>
    <row r="533" ht="13"/>
    <row r="534" ht="13"/>
    <row r="535" ht="13"/>
    <row r="536" ht="13"/>
    <row r="537" ht="13"/>
    <row r="538" ht="13"/>
    <row r="539" ht="13"/>
    <row r="540" ht="13"/>
    <row r="541" ht="13"/>
    <row r="542" ht="13"/>
    <row r="543" ht="13"/>
    <row r="544" ht="13"/>
    <row r="545" ht="13"/>
    <row r="546" ht="13"/>
    <row r="547" ht="13"/>
    <row r="548" ht="13"/>
    <row r="549" ht="13"/>
    <row r="550" ht="13"/>
    <row r="551" ht="13"/>
    <row r="552" ht="13"/>
    <row r="553" ht="13"/>
    <row r="554" ht="13"/>
    <row r="555" ht="13"/>
    <row r="556" ht="13"/>
    <row r="557" ht="13"/>
    <row r="558" ht="13"/>
    <row r="559" ht="13"/>
    <row r="560" ht="13"/>
    <row r="561" ht="13"/>
    <row r="562" ht="13"/>
    <row r="563" ht="13"/>
    <row r="564" ht="13"/>
    <row r="565" ht="13"/>
    <row r="566" ht="13"/>
    <row r="567" ht="13"/>
    <row r="568" ht="13"/>
    <row r="569" ht="13"/>
    <row r="570" ht="13"/>
    <row r="571" ht="13"/>
    <row r="572" ht="13"/>
    <row r="573" ht="13"/>
    <row r="574" ht="13"/>
    <row r="575" ht="13"/>
    <row r="576" ht="13"/>
    <row r="577" ht="13"/>
    <row r="578" ht="13"/>
    <row r="579" ht="13"/>
    <row r="580" ht="13"/>
    <row r="581" ht="13"/>
    <row r="582" ht="13"/>
    <row r="583" ht="13"/>
    <row r="584" ht="13"/>
    <row r="585" ht="13"/>
    <row r="586" ht="13"/>
    <row r="587" ht="13"/>
    <row r="588" ht="13"/>
    <row r="589" ht="13"/>
    <row r="590" ht="13"/>
    <row r="591" ht="13"/>
    <row r="592" ht="13"/>
    <row r="593" ht="13"/>
    <row r="594" ht="13"/>
    <row r="595" ht="13"/>
    <row r="596" ht="13"/>
    <row r="597" ht="13"/>
    <row r="598" ht="13"/>
    <row r="599" ht="13"/>
    <row r="600" ht="13"/>
    <row r="601" ht="13"/>
    <row r="602" ht="13"/>
    <row r="603" ht="13"/>
    <row r="604" ht="13"/>
    <row r="605" ht="13"/>
    <row r="606" ht="13"/>
    <row r="607" ht="13"/>
    <row r="608" ht="13"/>
    <row r="609" ht="13"/>
    <row r="610" ht="13"/>
    <row r="611" ht="13"/>
    <row r="612" ht="13"/>
    <row r="613" ht="13"/>
    <row r="614" ht="13"/>
    <row r="615" ht="13"/>
    <row r="616" ht="13"/>
    <row r="617" ht="13"/>
    <row r="618" ht="13"/>
    <row r="619" ht="13"/>
    <row r="620" ht="13"/>
    <row r="621" ht="13"/>
    <row r="622" ht="13"/>
    <row r="623" ht="13"/>
    <row r="624" ht="13"/>
    <row r="625" ht="13"/>
    <row r="626" ht="13"/>
    <row r="627" ht="13"/>
    <row r="628" ht="13"/>
    <row r="629" ht="13"/>
    <row r="630" ht="13"/>
    <row r="631" ht="13"/>
    <row r="632" ht="13"/>
    <row r="633" ht="13"/>
    <row r="634" ht="13"/>
    <row r="635" ht="13"/>
    <row r="636" ht="13"/>
    <row r="637" ht="13"/>
    <row r="638" ht="13"/>
    <row r="639" ht="13"/>
    <row r="640" ht="13"/>
    <row r="641" ht="13"/>
    <row r="642" ht="13"/>
    <row r="643" ht="13"/>
    <row r="644" ht="13"/>
    <row r="645" ht="13"/>
    <row r="646" ht="13"/>
    <row r="647" ht="13"/>
    <row r="648" ht="13"/>
    <row r="649" ht="13"/>
    <row r="650" ht="13"/>
    <row r="651" ht="13"/>
    <row r="652" ht="13"/>
    <row r="653" ht="13"/>
    <row r="654" ht="13"/>
    <row r="655" ht="13"/>
    <row r="656" ht="13"/>
    <row r="657" ht="13"/>
    <row r="658" ht="13"/>
    <row r="659" ht="13"/>
    <row r="660" ht="13"/>
    <row r="661" ht="13"/>
    <row r="662" ht="13"/>
    <row r="663" ht="13"/>
    <row r="664" ht="13"/>
    <row r="665" ht="13"/>
    <row r="666" ht="13"/>
    <row r="667" ht="13"/>
    <row r="668" ht="13"/>
    <row r="669" ht="13"/>
    <row r="670" ht="13"/>
    <row r="671" ht="13"/>
    <row r="672" ht="13"/>
    <row r="673" ht="13"/>
    <row r="674" ht="13"/>
    <row r="675" ht="13"/>
    <row r="676" ht="13"/>
    <row r="677" ht="13"/>
    <row r="678" ht="13"/>
    <row r="679" ht="13"/>
    <row r="680" ht="13"/>
    <row r="681" ht="13"/>
    <row r="682" ht="13"/>
    <row r="683" ht="13"/>
    <row r="684" ht="13"/>
    <row r="685" ht="13"/>
    <row r="686" ht="13"/>
    <row r="687" ht="13"/>
    <row r="688" ht="13"/>
    <row r="689" ht="13"/>
    <row r="690" ht="13"/>
    <row r="691" ht="13"/>
    <row r="692" ht="13"/>
    <row r="693" ht="13"/>
    <row r="694" ht="13"/>
    <row r="695" ht="13"/>
    <row r="696" ht="13"/>
    <row r="697" ht="13"/>
    <row r="698" ht="13"/>
    <row r="699" ht="13"/>
    <row r="700" ht="13"/>
    <row r="701" ht="13"/>
    <row r="702" ht="13"/>
    <row r="703" ht="13"/>
    <row r="704" ht="13"/>
    <row r="705" ht="13"/>
    <row r="706" ht="13"/>
    <row r="707" ht="13"/>
    <row r="708" ht="13"/>
    <row r="709" ht="13"/>
    <row r="710" ht="13"/>
    <row r="711" ht="13"/>
    <row r="712" ht="13"/>
    <row r="713" ht="13"/>
    <row r="714" ht="13"/>
    <row r="715" ht="13"/>
    <row r="716" ht="13"/>
    <row r="717" ht="13"/>
    <row r="718" ht="13"/>
    <row r="719" ht="13"/>
    <row r="720" ht="13"/>
    <row r="721" ht="13"/>
    <row r="722" ht="13"/>
    <row r="723" ht="13"/>
    <row r="724" ht="13"/>
    <row r="725" ht="13"/>
    <row r="726" ht="13"/>
    <row r="727" ht="13"/>
    <row r="728" ht="13"/>
    <row r="729" ht="13"/>
    <row r="730" ht="13"/>
    <row r="731" ht="13"/>
    <row r="732" ht="13"/>
    <row r="733" ht="13"/>
    <row r="734" ht="13"/>
    <row r="735" ht="13"/>
    <row r="736" ht="13"/>
    <row r="737" ht="13"/>
    <row r="738" ht="13"/>
    <row r="739" ht="13"/>
    <row r="740" ht="13"/>
    <row r="741" ht="13"/>
    <row r="742" ht="13"/>
    <row r="743" ht="13"/>
    <row r="744" ht="13"/>
    <row r="745" ht="13"/>
    <row r="746" ht="13"/>
    <row r="747" ht="13"/>
    <row r="748" ht="13"/>
    <row r="749" ht="13"/>
    <row r="750" ht="13"/>
    <row r="751" ht="13"/>
    <row r="752" ht="13"/>
    <row r="753" ht="13"/>
    <row r="754" ht="13"/>
    <row r="755" ht="13"/>
    <row r="756" ht="13"/>
    <row r="757" ht="13"/>
    <row r="758" ht="13"/>
    <row r="759" ht="13"/>
    <row r="760" ht="13"/>
    <row r="761" ht="13"/>
    <row r="762" ht="13"/>
    <row r="763" ht="13"/>
    <row r="764" ht="13"/>
    <row r="765" ht="13"/>
    <row r="766" ht="13"/>
    <row r="767" ht="13"/>
    <row r="768" ht="13"/>
    <row r="769" ht="13"/>
    <row r="770" ht="13"/>
    <row r="771" ht="13"/>
    <row r="772" ht="13"/>
    <row r="773" ht="13"/>
    <row r="774" ht="13"/>
    <row r="775" ht="13"/>
    <row r="776" ht="13"/>
    <row r="777" ht="13"/>
    <row r="778" ht="13"/>
    <row r="779" ht="13"/>
    <row r="780" ht="13"/>
    <row r="781" ht="13"/>
    <row r="782" ht="13"/>
    <row r="783" ht="13"/>
    <row r="784" ht="13"/>
    <row r="785" ht="13"/>
    <row r="786" ht="13"/>
    <row r="787" ht="13"/>
    <row r="788" ht="13"/>
    <row r="789" ht="13"/>
    <row r="790" ht="13"/>
    <row r="791" ht="13"/>
    <row r="792" ht="13"/>
    <row r="793" ht="13"/>
    <row r="794" ht="13"/>
    <row r="795" ht="13"/>
    <row r="796" ht="13"/>
    <row r="797" ht="13"/>
    <row r="798" ht="13"/>
    <row r="799" ht="13"/>
    <row r="800" ht="13"/>
    <row r="801" ht="13"/>
    <row r="802" ht="13"/>
    <row r="803" ht="13"/>
    <row r="804" ht="13"/>
    <row r="805" ht="13"/>
    <row r="806" ht="13"/>
    <row r="807" ht="13"/>
    <row r="808" ht="13"/>
    <row r="809" ht="13"/>
    <row r="810" ht="13"/>
    <row r="811" ht="13"/>
    <row r="812" ht="13"/>
    <row r="813" ht="13"/>
    <row r="814" ht="13"/>
    <row r="815" ht="13"/>
    <row r="816" ht="13"/>
    <row r="817" ht="13"/>
    <row r="818" ht="13"/>
    <row r="819" ht="13"/>
    <row r="820" ht="13"/>
    <row r="821" ht="13"/>
    <row r="822" ht="13"/>
    <row r="823" ht="13"/>
    <row r="824" ht="13"/>
    <row r="825" ht="13"/>
    <row r="826" ht="13"/>
    <row r="827" ht="13"/>
    <row r="828" ht="13"/>
    <row r="829" ht="13"/>
    <row r="830" ht="13"/>
    <row r="831" ht="13"/>
    <row r="832" ht="13"/>
    <row r="833" ht="13"/>
    <row r="834" ht="13"/>
    <row r="835" ht="13"/>
    <row r="836" ht="13"/>
    <row r="837" ht="13"/>
    <row r="838" ht="13"/>
    <row r="839" ht="13"/>
    <row r="840" ht="13"/>
    <row r="841" ht="13"/>
    <row r="842" ht="13"/>
    <row r="843" ht="13"/>
    <row r="844" ht="13"/>
    <row r="845" ht="13"/>
    <row r="846" ht="13"/>
    <row r="847" ht="13"/>
    <row r="848" ht="13"/>
    <row r="849" ht="13"/>
    <row r="850" ht="13"/>
    <row r="851" ht="13"/>
    <row r="852" ht="13"/>
    <row r="853" ht="13"/>
    <row r="854" ht="13"/>
    <row r="855" ht="13"/>
    <row r="856" ht="13"/>
    <row r="857" ht="13"/>
    <row r="858" ht="13"/>
    <row r="859" ht="13"/>
    <row r="860" ht="13"/>
    <row r="861" ht="13"/>
    <row r="862" ht="13"/>
    <row r="863" ht="13"/>
    <row r="864" ht="13"/>
    <row r="865" ht="13"/>
    <row r="866" ht="13"/>
    <row r="867" ht="13"/>
    <row r="868" ht="13"/>
    <row r="869" ht="13"/>
    <row r="870" ht="13"/>
    <row r="871" ht="13"/>
    <row r="872" ht="13"/>
    <row r="873" ht="13"/>
    <row r="874" ht="13"/>
    <row r="875" ht="13"/>
    <row r="876" ht="13"/>
    <row r="877" ht="13"/>
    <row r="878" ht="13"/>
    <row r="879" ht="13"/>
    <row r="880" ht="13"/>
    <row r="881" ht="13"/>
    <row r="882" ht="13"/>
    <row r="883" ht="13"/>
    <row r="884" ht="13"/>
    <row r="885" ht="13"/>
    <row r="886" ht="13"/>
    <row r="887" ht="13"/>
    <row r="888" ht="13"/>
    <row r="889" ht="13"/>
    <row r="890" ht="13"/>
    <row r="891" ht="13"/>
    <row r="892" ht="13"/>
    <row r="893" ht="13"/>
    <row r="894" ht="13"/>
    <row r="895" ht="13"/>
    <row r="896" ht="13"/>
    <row r="897" ht="13"/>
    <row r="898" ht="13"/>
    <row r="899" ht="13"/>
    <row r="900" ht="13"/>
    <row r="901" ht="13"/>
    <row r="902" ht="13"/>
    <row r="903" ht="13"/>
    <row r="904" ht="13"/>
    <row r="905" ht="13"/>
    <row r="906" ht="13"/>
    <row r="907" ht="13"/>
    <row r="908" ht="13"/>
    <row r="909" ht="13"/>
    <row r="910" ht="13"/>
    <row r="911" ht="13"/>
    <row r="912" ht="13"/>
    <row r="913" ht="13"/>
    <row r="914" ht="13"/>
    <row r="915" ht="13"/>
    <row r="916" ht="13"/>
    <row r="917" ht="13"/>
    <row r="918" ht="13"/>
    <row r="919" ht="13"/>
    <row r="920" ht="13"/>
    <row r="921" ht="13"/>
    <row r="922" ht="13"/>
    <row r="923" ht="13"/>
    <row r="924" ht="13"/>
    <row r="925" ht="13"/>
    <row r="926" ht="13"/>
    <row r="927" ht="13"/>
    <row r="928" ht="13"/>
    <row r="929" ht="13"/>
    <row r="930" ht="13"/>
    <row r="931" ht="13"/>
    <row r="932" ht="13"/>
    <row r="933" ht="13"/>
    <row r="934" ht="13"/>
    <row r="935" ht="13"/>
    <row r="936" ht="13"/>
    <row r="937" ht="13"/>
    <row r="938" ht="13"/>
    <row r="939" ht="13"/>
    <row r="940" ht="13"/>
    <row r="941" ht="13"/>
    <row r="942" ht="13"/>
    <row r="943" ht="13"/>
    <row r="944" ht="13"/>
    <row r="945" ht="13"/>
    <row r="946" ht="13"/>
    <row r="947" ht="13"/>
    <row r="948" ht="13"/>
    <row r="949" ht="13"/>
    <row r="950" ht="13"/>
    <row r="951" ht="13"/>
    <row r="952" ht="13"/>
    <row r="953" ht="13"/>
    <row r="954" ht="13"/>
    <row r="955" ht="13"/>
    <row r="956" ht="13"/>
    <row r="957" ht="13"/>
    <row r="958" ht="13"/>
    <row r="959" ht="13"/>
    <row r="960" ht="13"/>
    <row r="961" ht="13"/>
    <row r="962" ht="13"/>
    <row r="963" ht="13"/>
    <row r="964" ht="13"/>
    <row r="965" ht="13"/>
    <row r="966" ht="13"/>
    <row r="967" ht="13"/>
    <row r="968" ht="13"/>
    <row r="969" ht="13"/>
    <row r="970" ht="13"/>
    <row r="971" ht="13"/>
    <row r="972" ht="13"/>
    <row r="973" ht="13"/>
    <row r="974" ht="13"/>
    <row r="975" ht="13"/>
    <row r="976" ht="13"/>
    <row r="977" ht="13"/>
    <row r="978" ht="13"/>
    <row r="979" ht="13"/>
    <row r="980" ht="13"/>
    <row r="981" ht="13"/>
    <row r="982" ht="13"/>
    <row r="983" ht="13"/>
    <row r="984" ht="13"/>
    <row r="985" ht="13"/>
    <row r="986" ht="13"/>
    <row r="987" ht="13"/>
    <row r="988" ht="13"/>
    <row r="989" ht="13"/>
    <row r="990" ht="13"/>
    <row r="991" ht="13"/>
    <row r="992" ht="13"/>
    <row r="993" ht="13"/>
    <row r="994" ht="13"/>
    <row r="995" ht="13"/>
    <row r="996" ht="13"/>
    <row r="997" ht="13"/>
    <row r="998" ht="13"/>
    <row r="999" ht="13"/>
    <row r="1000" ht="13"/>
  </sheetData>
  <mergeCells count="9">
    <mergeCell ref="H4:H5"/>
    <mergeCell ref="J4:L4"/>
    <mergeCell ref="B7:E13"/>
    <mergeCell ref="B14:E14"/>
    <mergeCell ref="B15:E16"/>
    <mergeCell ref="B2:B5"/>
    <mergeCell ref="C2:C5"/>
    <mergeCell ref="E2:E5"/>
    <mergeCell ref="G4:G5"/>
  </mergeCells>
  <hyperlinks>
    <hyperlink ref="B7" r:id="rId1" xr:uid="{00000000-0004-0000-03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T122"/>
  <sheetViews>
    <sheetView workbookViewId="0">
      <pane ySplit="2" topLeftCell="A3" activePane="bottomLeft" state="frozen"/>
      <selection pane="bottomLeft" activeCell="I2" sqref="I2"/>
    </sheetView>
  </sheetViews>
  <sheetFormatPr baseColWidth="10" defaultColWidth="12.6640625" defaultRowHeight="13"/>
  <cols>
    <col min="1" max="1" width="9" customWidth="1"/>
    <col min="2" max="2" width="12.1640625" customWidth="1"/>
    <col min="3" max="3" width="18.5" customWidth="1"/>
    <col min="4" max="4" width="9.6640625" customWidth="1"/>
    <col min="5" max="5" width="42.6640625" customWidth="1"/>
    <col min="6" max="18" width="6.6640625" customWidth="1"/>
    <col min="19" max="19" width="29.83203125" style="108" customWidth="1"/>
    <col min="20" max="20" width="29.6640625" hidden="1" customWidth="1"/>
  </cols>
  <sheetData>
    <row r="1" spans="1:20">
      <c r="A1" s="21"/>
      <c r="B1" s="21"/>
      <c r="C1" s="21"/>
      <c r="D1" s="21"/>
      <c r="E1" s="21"/>
      <c r="F1" s="120" t="s">
        <v>42</v>
      </c>
      <c r="G1" s="115"/>
      <c r="H1" s="121"/>
      <c r="I1" s="122" t="s">
        <v>1412</v>
      </c>
      <c r="J1" s="115"/>
      <c r="K1" s="115"/>
      <c r="L1" s="115"/>
      <c r="M1" s="115"/>
      <c r="N1" s="115"/>
      <c r="O1" s="115"/>
      <c r="P1" s="115"/>
      <c r="Q1" s="115"/>
      <c r="R1" s="121"/>
      <c r="S1" s="97"/>
    </row>
    <row r="2" spans="1:20" ht="28">
      <c r="A2" s="14" t="s">
        <v>43</v>
      </c>
      <c r="B2" s="14" t="s">
        <v>44</v>
      </c>
      <c r="C2" s="14" t="s">
        <v>45</v>
      </c>
      <c r="D2" s="14" t="s">
        <v>46</v>
      </c>
      <c r="E2" s="14" t="s">
        <v>47</v>
      </c>
      <c r="F2" s="15">
        <v>4.0999999999999996</v>
      </c>
      <c r="G2" s="16">
        <v>4.2</v>
      </c>
      <c r="H2" s="17">
        <v>4.3</v>
      </c>
      <c r="I2" s="16" t="s">
        <v>24</v>
      </c>
      <c r="J2" s="16" t="s">
        <v>9</v>
      </c>
      <c r="K2" s="16" t="s">
        <v>18</v>
      </c>
      <c r="L2" s="16" t="s">
        <v>15</v>
      </c>
      <c r="M2" s="16" t="s">
        <v>12</v>
      </c>
      <c r="N2" s="16" t="s">
        <v>31</v>
      </c>
      <c r="O2" s="16" t="s">
        <v>21</v>
      </c>
      <c r="P2" s="16" t="s">
        <v>6</v>
      </c>
      <c r="Q2" s="16" t="s">
        <v>27</v>
      </c>
      <c r="R2" s="17" t="s">
        <v>34</v>
      </c>
      <c r="S2" s="98" t="s">
        <v>48</v>
      </c>
      <c r="T2" s="22"/>
    </row>
    <row r="3" spans="1:20" ht="21">
      <c r="A3" s="24" t="str">
        <f ca="1">IFERROR(__xludf.DUMMYFUNCTION("filter('Raw Data Non-GCSE'!B2:S122,'Raw Data Non-GCSE'!B2:B122&lt;&gt;"""")"),"Non-GCSE")</f>
        <v>Non-GCSE</v>
      </c>
      <c r="B3" s="24">
        <f ca="1">IFERROR(__xludf.DUMMYFUNCTION("""COMPUTED_VALUE"""),1)</f>
        <v>1</v>
      </c>
      <c r="C3" s="25" t="str">
        <f ca="1">IFERROR(__xludf.DUMMYFUNCTION("""COMPUTED_VALUE"""),"Online safety")</f>
        <v>Online safety</v>
      </c>
      <c r="D3" s="24">
        <f ca="1">IFERROR(__xludf.DUMMYFUNCTION("""COMPUTED_VALUE"""),1)</f>
        <v>1</v>
      </c>
      <c r="E3" s="25" t="str">
        <f ca="1">IFERROR(__xludf.DUMMYFUNCTION("""COMPUTED_VALUE"""),"Discuss the main safety concerns of being online")</f>
        <v>Discuss the main safety concerns of being online</v>
      </c>
      <c r="F3" s="26"/>
      <c r="G3" s="27"/>
      <c r="H3" s="28" t="b">
        <f ca="1">IFERROR(__xludf.DUMMYFUNCTION("""COMPUTED_VALUE"""),TRUE)</f>
        <v>1</v>
      </c>
      <c r="I3" s="26"/>
      <c r="J3" s="27"/>
      <c r="K3" s="27"/>
      <c r="L3" s="27"/>
      <c r="M3" s="27"/>
      <c r="N3" s="27"/>
      <c r="O3" s="27"/>
      <c r="P3" s="27"/>
      <c r="Q3" s="27"/>
      <c r="R3" s="28" t="b">
        <f ca="1">IFERROR(__xludf.DUMMYFUNCTION("""COMPUTED_VALUE"""),TRUE)</f>
        <v>1</v>
      </c>
      <c r="S3" s="99"/>
      <c r="T3" s="29">
        <f ca="1">IFERROR(__xludf.DUMMYFUNCTION("ArrayFormula(mod(COUNTUNIQUE($C$3:C3),2))"),1)</f>
        <v>1</v>
      </c>
    </row>
    <row r="4" spans="1:20" ht="21">
      <c r="A4" s="30" t="str">
        <f ca="1">IFERROR(__xludf.DUMMYFUNCTION("""COMPUTED_VALUE"""),"Non-GCSE")</f>
        <v>Non-GCSE</v>
      </c>
      <c r="B4" s="30">
        <f ca="1">IFERROR(__xludf.DUMMYFUNCTION("""COMPUTED_VALUE"""),1)</f>
        <v>1</v>
      </c>
      <c r="C4" s="31" t="str">
        <f ca="1">IFERROR(__xludf.DUMMYFUNCTION("""COMPUTED_VALUE"""),"Online safety")</f>
        <v>Online safety</v>
      </c>
      <c r="D4" s="30">
        <f ca="1">IFERROR(__xludf.DUMMYFUNCTION("""COMPUTED_VALUE"""),1)</f>
        <v>1</v>
      </c>
      <c r="E4" s="31" t="str">
        <f ca="1">IFERROR(__xludf.DUMMYFUNCTION("""COMPUTED_VALUE"""),"Reflect on online activity from a safety perspective")</f>
        <v>Reflect on online activity from a safety perspective</v>
      </c>
      <c r="F4" s="32"/>
      <c r="G4" s="33"/>
      <c r="H4" s="34" t="b">
        <f ca="1">IFERROR(__xludf.DUMMYFUNCTION("""COMPUTED_VALUE"""),TRUE)</f>
        <v>1</v>
      </c>
      <c r="I4" s="32"/>
      <c r="J4" s="33"/>
      <c r="K4" s="33"/>
      <c r="L4" s="33"/>
      <c r="M4" s="33"/>
      <c r="N4" s="33"/>
      <c r="O4" s="33"/>
      <c r="P4" s="33"/>
      <c r="Q4" s="33"/>
      <c r="R4" s="34" t="b">
        <f ca="1">IFERROR(__xludf.DUMMYFUNCTION("""COMPUTED_VALUE"""),TRUE)</f>
        <v>1</v>
      </c>
      <c r="S4" s="100"/>
      <c r="T4" s="35">
        <f ca="1">IFERROR(__xludf.DUMMYFUNCTION("ArrayFormula(mod(COUNTUNIQUE($C$3:C4),2))"),1)</f>
        <v>1</v>
      </c>
    </row>
    <row r="5" spans="1:20" ht="28">
      <c r="A5" s="30" t="str">
        <f ca="1">IFERROR(__xludf.DUMMYFUNCTION("""COMPUTED_VALUE"""),"Non-GCSE")</f>
        <v>Non-GCSE</v>
      </c>
      <c r="B5" s="30">
        <f ca="1">IFERROR(__xludf.DUMMYFUNCTION("""COMPUTED_VALUE"""),1)</f>
        <v>1</v>
      </c>
      <c r="C5" s="31" t="str">
        <f ca="1">IFERROR(__xludf.DUMMYFUNCTION("""COMPUTED_VALUE"""),"Online safety")</f>
        <v>Online safety</v>
      </c>
      <c r="D5" s="30">
        <f ca="1">IFERROR(__xludf.DUMMYFUNCTION("""COMPUTED_VALUE"""),2)</f>
        <v>2</v>
      </c>
      <c r="E5" s="31" t="str">
        <f ca="1">IFERROR(__xludf.DUMMYFUNCTION("""COMPUTED_VALUE"""),"Define online reputation and discuss what it is made up of")</f>
        <v>Define online reputation and discuss what it is made up of</v>
      </c>
      <c r="F5" s="32"/>
      <c r="G5" s="33"/>
      <c r="H5" s="34" t="b">
        <f ca="1">IFERROR(__xludf.DUMMYFUNCTION("""COMPUTED_VALUE"""),TRUE)</f>
        <v>1</v>
      </c>
      <c r="I5" s="32"/>
      <c r="J5" s="33"/>
      <c r="K5" s="33"/>
      <c r="L5" s="33"/>
      <c r="M5" s="33"/>
      <c r="N5" s="33"/>
      <c r="O5" s="33"/>
      <c r="P5" s="33"/>
      <c r="Q5" s="33"/>
      <c r="R5" s="34" t="b">
        <f ca="1">IFERROR(__xludf.DUMMYFUNCTION("""COMPUTED_VALUE"""),TRUE)</f>
        <v>1</v>
      </c>
      <c r="S5" s="100"/>
      <c r="T5" s="35">
        <f ca="1">IFERROR(__xludf.DUMMYFUNCTION("ArrayFormula(mod(COUNTUNIQUE($C$3:C5),2))"),1)</f>
        <v>1</v>
      </c>
    </row>
    <row r="6" spans="1:20" ht="28">
      <c r="A6" s="30" t="str">
        <f ca="1">IFERROR(__xludf.DUMMYFUNCTION("""COMPUTED_VALUE"""),"Non-GCSE")</f>
        <v>Non-GCSE</v>
      </c>
      <c r="B6" s="30">
        <f ca="1">IFERROR(__xludf.DUMMYFUNCTION("""COMPUTED_VALUE"""),1)</f>
        <v>1</v>
      </c>
      <c r="C6" s="31" t="str">
        <f ca="1">IFERROR(__xludf.DUMMYFUNCTION("""COMPUTED_VALUE"""),"Online safety")</f>
        <v>Online safety</v>
      </c>
      <c r="D6" s="30">
        <f ca="1">IFERROR(__xludf.DUMMYFUNCTION("""COMPUTED_VALUE"""),2)</f>
        <v>2</v>
      </c>
      <c r="E6" s="31" t="str">
        <f ca="1">IFERROR(__xludf.DUMMYFUNCTION("""COMPUTED_VALUE"""),"Discuss techniques on how to build a positive online reputation")</f>
        <v>Discuss techniques on how to build a positive online reputation</v>
      </c>
      <c r="F6" s="32"/>
      <c r="G6" s="33"/>
      <c r="H6" s="34" t="b">
        <f ca="1">IFERROR(__xludf.DUMMYFUNCTION("""COMPUTED_VALUE"""),TRUE)</f>
        <v>1</v>
      </c>
      <c r="I6" s="32"/>
      <c r="J6" s="33"/>
      <c r="K6" s="33"/>
      <c r="L6" s="33"/>
      <c r="M6" s="33"/>
      <c r="N6" s="33"/>
      <c r="O6" s="33"/>
      <c r="P6" s="33"/>
      <c r="Q6" s="33"/>
      <c r="R6" s="34" t="b">
        <f ca="1">IFERROR(__xludf.DUMMYFUNCTION("""COMPUTED_VALUE"""),TRUE)</f>
        <v>1</v>
      </c>
      <c r="S6" s="100"/>
      <c r="T6" s="35">
        <f ca="1">IFERROR(__xludf.DUMMYFUNCTION("ArrayFormula(mod(COUNTUNIQUE($C$3:C6),2))"),1)</f>
        <v>1</v>
      </c>
    </row>
    <row r="7" spans="1:20" ht="28">
      <c r="A7" s="36" t="str">
        <f ca="1">IFERROR(__xludf.DUMMYFUNCTION("""COMPUTED_VALUE"""),"Non-GCSE")</f>
        <v>Non-GCSE</v>
      </c>
      <c r="B7" s="36">
        <f ca="1">IFERROR(__xludf.DUMMYFUNCTION("""COMPUTED_VALUE"""),1)</f>
        <v>1</v>
      </c>
      <c r="C7" s="37" t="str">
        <f ca="1">IFERROR(__xludf.DUMMYFUNCTION("""COMPUTED_VALUE"""),"Online safety")</f>
        <v>Online safety</v>
      </c>
      <c r="D7" s="36">
        <f ca="1">IFERROR(__xludf.DUMMYFUNCTION("""COMPUTED_VALUE"""),2)</f>
        <v>2</v>
      </c>
      <c r="E7" s="37" t="str">
        <f ca="1">IFERROR(__xludf.DUMMYFUNCTION("""COMPUTED_VALUE"""),"Discuss the ways in which one’s online reputation might be under threat and how to defend it")</f>
        <v>Discuss the ways in which one’s online reputation might be under threat and how to defend it</v>
      </c>
      <c r="F7" s="38"/>
      <c r="G7" s="39"/>
      <c r="H7" s="40" t="b">
        <f ca="1">IFERROR(__xludf.DUMMYFUNCTION("""COMPUTED_VALUE"""),TRUE)</f>
        <v>1</v>
      </c>
      <c r="I7" s="38"/>
      <c r="J7" s="39"/>
      <c r="K7" s="39"/>
      <c r="L7" s="39"/>
      <c r="M7" s="39"/>
      <c r="N7" s="39"/>
      <c r="O7" s="39"/>
      <c r="P7" s="39"/>
      <c r="Q7" s="39"/>
      <c r="R7" s="40" t="b">
        <f ca="1">IFERROR(__xludf.DUMMYFUNCTION("""COMPUTED_VALUE"""),TRUE)</f>
        <v>1</v>
      </c>
      <c r="S7" s="101"/>
      <c r="T7" s="41">
        <f ca="1">IFERROR(__xludf.DUMMYFUNCTION("ArrayFormula(mod(COUNTUNIQUE($C$3:C7),2))"),1)</f>
        <v>1</v>
      </c>
    </row>
    <row r="8" spans="1:20" ht="21">
      <c r="A8" s="42" t="str">
        <f ca="1">IFERROR(__xludf.DUMMYFUNCTION("""COMPUTED_VALUE"""),"Non-GCSE")</f>
        <v>Non-GCSE</v>
      </c>
      <c r="B8" s="42">
        <f ca="1">IFERROR(__xludf.DUMMYFUNCTION("""COMPUTED_VALUE"""),1)</f>
        <v>1</v>
      </c>
      <c r="C8" s="43" t="str">
        <f ca="1">IFERROR(__xludf.DUMMYFUNCTION("""COMPUTED_VALUE"""),"Online safety")</f>
        <v>Online safety</v>
      </c>
      <c r="D8" s="42">
        <f ca="1">IFERROR(__xludf.DUMMYFUNCTION("""COMPUTED_VALUE"""),3)</f>
        <v>3</v>
      </c>
      <c r="E8" s="43" t="str">
        <f ca="1">IFERROR(__xludf.DUMMYFUNCTION("""COMPUTED_VALUE"""),"Define the terms ‘big data’ and ‘data analytics’")</f>
        <v>Define the terms ‘big data’ and ‘data analytics’</v>
      </c>
      <c r="F8" s="44"/>
      <c r="G8" s="45"/>
      <c r="H8" s="46" t="b">
        <f ca="1">IFERROR(__xludf.DUMMYFUNCTION("""COMPUTED_VALUE"""),TRUE)</f>
        <v>1</v>
      </c>
      <c r="I8" s="44"/>
      <c r="J8" s="45"/>
      <c r="K8" s="45"/>
      <c r="L8" s="45"/>
      <c r="M8" s="45" t="b">
        <f ca="1">IFERROR(__xludf.DUMMYFUNCTION("""COMPUTED_VALUE"""),TRUE)</f>
        <v>1</v>
      </c>
      <c r="N8" s="45"/>
      <c r="O8" s="45"/>
      <c r="P8" s="45"/>
      <c r="Q8" s="45"/>
      <c r="R8" s="46"/>
      <c r="S8" s="102"/>
      <c r="T8" s="47">
        <f ca="1">IFERROR(__xludf.DUMMYFUNCTION("ArrayFormula(mod(COUNTUNIQUE($C$3:C8),2))"),1)</f>
        <v>1</v>
      </c>
    </row>
    <row r="9" spans="1:20" ht="21">
      <c r="A9" s="30" t="str">
        <f ca="1">IFERROR(__xludf.DUMMYFUNCTION("""COMPUTED_VALUE"""),"Non-GCSE")</f>
        <v>Non-GCSE</v>
      </c>
      <c r="B9" s="30">
        <f ca="1">IFERROR(__xludf.DUMMYFUNCTION("""COMPUTED_VALUE"""),1)</f>
        <v>1</v>
      </c>
      <c r="C9" s="31" t="str">
        <f ca="1">IFERROR(__xludf.DUMMYFUNCTION("""COMPUTED_VALUE"""),"Online safety")</f>
        <v>Online safety</v>
      </c>
      <c r="D9" s="30">
        <f ca="1">IFERROR(__xludf.DUMMYFUNCTION("""COMPUTED_VALUE"""),3)</f>
        <v>3</v>
      </c>
      <c r="E9" s="31" t="str">
        <f ca="1">IFERROR(__xludf.DUMMYFUNCTION("""COMPUTED_VALUE"""),"Discuss the ethics of big data use")</f>
        <v>Discuss the ethics of big data use</v>
      </c>
      <c r="F9" s="32"/>
      <c r="G9" s="33"/>
      <c r="H9" s="34" t="b">
        <f ca="1">IFERROR(__xludf.DUMMYFUNCTION("""COMPUTED_VALUE"""),TRUE)</f>
        <v>1</v>
      </c>
      <c r="I9" s="32"/>
      <c r="J9" s="33"/>
      <c r="K9" s="33"/>
      <c r="L9" s="33"/>
      <c r="M9" s="33" t="b">
        <f ca="1">IFERROR(__xludf.DUMMYFUNCTION("""COMPUTED_VALUE"""),TRUE)</f>
        <v>1</v>
      </c>
      <c r="N9" s="33"/>
      <c r="O9" s="33" t="b">
        <f ca="1">IFERROR(__xludf.DUMMYFUNCTION("""COMPUTED_VALUE"""),TRUE)</f>
        <v>1</v>
      </c>
      <c r="P9" s="33"/>
      <c r="Q9" s="33"/>
      <c r="R9" s="34"/>
      <c r="S9" s="100"/>
      <c r="T9" s="35">
        <f ca="1">IFERROR(__xludf.DUMMYFUNCTION("ArrayFormula(mod(COUNTUNIQUE($C$3:C9),2))"),1)</f>
        <v>1</v>
      </c>
    </row>
    <row r="10" spans="1:20" ht="21">
      <c r="A10" s="30" t="str">
        <f ca="1">IFERROR(__xludf.DUMMYFUNCTION("""COMPUTED_VALUE"""),"Non-GCSE")</f>
        <v>Non-GCSE</v>
      </c>
      <c r="B10" s="30">
        <f ca="1">IFERROR(__xludf.DUMMYFUNCTION("""COMPUTED_VALUE"""),1)</f>
        <v>1</v>
      </c>
      <c r="C10" s="31" t="str">
        <f ca="1">IFERROR(__xludf.DUMMYFUNCTION("""COMPUTED_VALUE"""),"Online safety")</f>
        <v>Online safety</v>
      </c>
      <c r="D10" s="30">
        <f ca="1">IFERROR(__xludf.DUMMYFUNCTION("""COMPUTED_VALUE"""),3)</f>
        <v>3</v>
      </c>
      <c r="E10" s="31" t="str">
        <f ca="1">IFERROR(__xludf.DUMMYFUNCTION("""COMPUTED_VALUE"""),"Explain how data is collected on and how it is used")</f>
        <v>Explain how data is collected on and how it is used</v>
      </c>
      <c r="F10" s="32"/>
      <c r="G10" s="33"/>
      <c r="H10" s="34" t="b">
        <f ca="1">IFERROR(__xludf.DUMMYFUNCTION("""COMPUTED_VALUE"""),TRUE)</f>
        <v>1</v>
      </c>
      <c r="I10" s="32"/>
      <c r="J10" s="33"/>
      <c r="K10" s="33"/>
      <c r="L10" s="33"/>
      <c r="M10" s="33" t="b">
        <f ca="1">IFERROR(__xludf.DUMMYFUNCTION("""COMPUTED_VALUE"""),TRUE)</f>
        <v>1</v>
      </c>
      <c r="N10" s="33"/>
      <c r="O10" s="33" t="b">
        <f ca="1">IFERROR(__xludf.DUMMYFUNCTION("""COMPUTED_VALUE"""),TRUE)</f>
        <v>1</v>
      </c>
      <c r="P10" s="33"/>
      <c r="Q10" s="33"/>
      <c r="R10" s="34" t="b">
        <f ca="1">IFERROR(__xludf.DUMMYFUNCTION("""COMPUTED_VALUE"""),TRUE)</f>
        <v>1</v>
      </c>
      <c r="S10" s="100"/>
      <c r="T10" s="35">
        <f ca="1">IFERROR(__xludf.DUMMYFUNCTION("ArrayFormula(mod(COUNTUNIQUE($C$3:C10),2))"),1)</f>
        <v>1</v>
      </c>
    </row>
    <row r="11" spans="1:20" ht="28">
      <c r="A11" s="30" t="str">
        <f ca="1">IFERROR(__xludf.DUMMYFUNCTION("""COMPUTED_VALUE"""),"Non-GCSE")</f>
        <v>Non-GCSE</v>
      </c>
      <c r="B11" s="30">
        <f ca="1">IFERROR(__xludf.DUMMYFUNCTION("""COMPUTED_VALUE"""),1)</f>
        <v>1</v>
      </c>
      <c r="C11" s="31" t="str">
        <f ca="1">IFERROR(__xludf.DUMMYFUNCTION("""COMPUTED_VALUE"""),"Online safety")</f>
        <v>Online safety</v>
      </c>
      <c r="D11" s="30">
        <f ca="1">IFERROR(__xludf.DUMMYFUNCTION("""COMPUTED_VALUE"""),3)</f>
        <v>3</v>
      </c>
      <c r="E11" s="31" t="str">
        <f ca="1">IFERROR(__xludf.DUMMYFUNCTION("""COMPUTED_VALUE"""),"Investigate the stakeholders who use big data and why")</f>
        <v>Investigate the stakeholders who use big data and why</v>
      </c>
      <c r="F11" s="32"/>
      <c r="G11" s="33"/>
      <c r="H11" s="34" t="b">
        <f ca="1">IFERROR(__xludf.DUMMYFUNCTION("""COMPUTED_VALUE"""),TRUE)</f>
        <v>1</v>
      </c>
      <c r="I11" s="32"/>
      <c r="J11" s="33"/>
      <c r="K11" s="33"/>
      <c r="L11" s="33"/>
      <c r="M11" s="33" t="b">
        <f ca="1">IFERROR(__xludf.DUMMYFUNCTION("""COMPUTED_VALUE"""),TRUE)</f>
        <v>1</v>
      </c>
      <c r="N11" s="33"/>
      <c r="O11" s="33" t="b">
        <f ca="1">IFERROR(__xludf.DUMMYFUNCTION("""COMPUTED_VALUE"""),TRUE)</f>
        <v>1</v>
      </c>
      <c r="P11" s="33"/>
      <c r="Q11" s="33"/>
      <c r="R11" s="34"/>
      <c r="S11" s="100"/>
      <c r="T11" s="35">
        <f ca="1">IFERROR(__xludf.DUMMYFUNCTION("ArrayFormula(mod(COUNTUNIQUE($C$3:C11),2))"),1)</f>
        <v>1</v>
      </c>
    </row>
    <row r="12" spans="1:20" ht="42">
      <c r="A12" s="30" t="str">
        <f ca="1">IFERROR(__xludf.DUMMYFUNCTION("""COMPUTED_VALUE"""),"Non-GCSE")</f>
        <v>Non-GCSE</v>
      </c>
      <c r="B12" s="30">
        <f ca="1">IFERROR(__xludf.DUMMYFUNCTION("""COMPUTED_VALUE"""),1)</f>
        <v>1</v>
      </c>
      <c r="C12" s="31" t="str">
        <f ca="1">IFERROR(__xludf.DUMMYFUNCTION("""COMPUTED_VALUE"""),"Online safety")</f>
        <v>Online safety</v>
      </c>
      <c r="D12" s="30">
        <f ca="1">IFERROR(__xludf.DUMMYFUNCTION("""COMPUTED_VALUE"""),4)</f>
        <v>4</v>
      </c>
      <c r="E12" s="31" t="str">
        <f ca="1">IFERROR(__xludf.DUMMYFUNCTION("""COMPUTED_VALUE"""),"Debate whether the right to privacy is important, why this might be the case, and if the right to privacy is in tension with any other rights")</f>
        <v>Debate whether the right to privacy is important, why this might be the case, and if the right to privacy is in tension with any other rights</v>
      </c>
      <c r="F12" s="32"/>
      <c r="G12" s="33"/>
      <c r="H12" s="34" t="b">
        <f ca="1">IFERROR(__xludf.DUMMYFUNCTION("""COMPUTED_VALUE"""),TRUE)</f>
        <v>1</v>
      </c>
      <c r="I12" s="32"/>
      <c r="J12" s="33"/>
      <c r="K12" s="33"/>
      <c r="L12" s="33"/>
      <c r="M12" s="33"/>
      <c r="N12" s="33"/>
      <c r="O12" s="33" t="b">
        <f ca="1">IFERROR(__xludf.DUMMYFUNCTION("""COMPUTED_VALUE"""),TRUE)</f>
        <v>1</v>
      </c>
      <c r="P12" s="33"/>
      <c r="Q12" s="33"/>
      <c r="R12" s="34"/>
      <c r="S12" s="100"/>
      <c r="T12" s="35">
        <f ca="1">IFERROR(__xludf.DUMMYFUNCTION("ArrayFormula(mod(COUNTUNIQUE($C$3:C12),2))"),1)</f>
        <v>1</v>
      </c>
    </row>
    <row r="13" spans="1:20" ht="21">
      <c r="A13" s="30" t="str">
        <f ca="1">IFERROR(__xludf.DUMMYFUNCTION("""COMPUTED_VALUE"""),"Non-GCSE")</f>
        <v>Non-GCSE</v>
      </c>
      <c r="B13" s="30">
        <f ca="1">IFERROR(__xludf.DUMMYFUNCTION("""COMPUTED_VALUE"""),1)</f>
        <v>1</v>
      </c>
      <c r="C13" s="31" t="str">
        <f ca="1">IFERROR(__xludf.DUMMYFUNCTION("""COMPUTED_VALUE"""),"Online safety")</f>
        <v>Online safety</v>
      </c>
      <c r="D13" s="30">
        <f ca="1">IFERROR(__xludf.DUMMYFUNCTION("""COMPUTED_VALUE"""),4)</f>
        <v>4</v>
      </c>
      <c r="E13" s="31" t="str">
        <f ca="1">IFERROR(__xludf.DUMMYFUNCTION("""COMPUTED_VALUE"""),"Discuss which rights are believed to be upheld")</f>
        <v>Discuss which rights are believed to be upheld</v>
      </c>
      <c r="F13" s="32"/>
      <c r="G13" s="33"/>
      <c r="H13" s="34" t="b">
        <f ca="1">IFERROR(__xludf.DUMMYFUNCTION("""COMPUTED_VALUE"""),TRUE)</f>
        <v>1</v>
      </c>
      <c r="I13" s="32"/>
      <c r="J13" s="33"/>
      <c r="K13" s="33"/>
      <c r="L13" s="33"/>
      <c r="M13" s="33"/>
      <c r="N13" s="33"/>
      <c r="O13" s="33" t="b">
        <f ca="1">IFERROR(__xludf.DUMMYFUNCTION("""COMPUTED_VALUE"""),TRUE)</f>
        <v>1</v>
      </c>
      <c r="P13" s="33"/>
      <c r="Q13" s="33"/>
      <c r="R13" s="34"/>
      <c r="S13" s="100"/>
      <c r="T13" s="35">
        <f ca="1">IFERROR(__xludf.DUMMYFUNCTION("ArrayFormula(mod(COUNTUNIQUE($C$3:C13),2))"),1)</f>
        <v>1</v>
      </c>
    </row>
    <row r="14" spans="1:20" ht="21">
      <c r="A14" s="30" t="str">
        <f ca="1">IFERROR(__xludf.DUMMYFUNCTION("""COMPUTED_VALUE"""),"Non-GCSE")</f>
        <v>Non-GCSE</v>
      </c>
      <c r="B14" s="30">
        <f ca="1">IFERROR(__xludf.DUMMYFUNCTION("""COMPUTED_VALUE"""),1)</f>
        <v>1</v>
      </c>
      <c r="C14" s="31" t="str">
        <f ca="1">IFERROR(__xludf.DUMMYFUNCTION("""COMPUTED_VALUE"""),"Online safety")</f>
        <v>Online safety</v>
      </c>
      <c r="D14" s="30">
        <f ca="1">IFERROR(__xludf.DUMMYFUNCTION("""COMPUTED_VALUE"""),4)</f>
        <v>4</v>
      </c>
      <c r="E14" s="31" t="str">
        <f ca="1">IFERROR(__xludf.DUMMYFUNCTION("""COMPUTED_VALUE"""),"Investigate the legal rights to privacy within the UK")</f>
        <v>Investigate the legal rights to privacy within the UK</v>
      </c>
      <c r="F14" s="32"/>
      <c r="G14" s="33"/>
      <c r="H14" s="34" t="b">
        <f ca="1">IFERROR(__xludf.DUMMYFUNCTION("""COMPUTED_VALUE"""),TRUE)</f>
        <v>1</v>
      </c>
      <c r="I14" s="32"/>
      <c r="J14" s="33"/>
      <c r="K14" s="33"/>
      <c r="L14" s="33"/>
      <c r="M14" s="33"/>
      <c r="N14" s="33"/>
      <c r="O14" s="33" t="b">
        <f ca="1">IFERROR(__xludf.DUMMYFUNCTION("""COMPUTED_VALUE"""),TRUE)</f>
        <v>1</v>
      </c>
      <c r="P14" s="33"/>
      <c r="Q14" s="33"/>
      <c r="R14" s="34"/>
      <c r="S14" s="100"/>
      <c r="T14" s="35">
        <f ca="1">IFERROR(__xludf.DUMMYFUNCTION("ArrayFormula(mod(COUNTUNIQUE($C$3:C14),2))"),1)</f>
        <v>1</v>
      </c>
    </row>
    <row r="15" spans="1:20" ht="21">
      <c r="A15" s="30" t="str">
        <f ca="1">IFERROR(__xludf.DUMMYFUNCTION("""COMPUTED_VALUE"""),"Non-GCSE")</f>
        <v>Non-GCSE</v>
      </c>
      <c r="B15" s="30">
        <f ca="1">IFERROR(__xludf.DUMMYFUNCTION("""COMPUTED_VALUE"""),1)</f>
        <v>1</v>
      </c>
      <c r="C15" s="31" t="str">
        <f ca="1">IFERROR(__xludf.DUMMYFUNCTION("""COMPUTED_VALUE"""),"Online safety")</f>
        <v>Online safety</v>
      </c>
      <c r="D15" s="30">
        <f ca="1">IFERROR(__xludf.DUMMYFUNCTION("""COMPUTED_VALUE"""),5)</f>
        <v>5</v>
      </c>
      <c r="E15" s="31" t="str">
        <f ca="1">IFERROR(__xludf.DUMMYFUNCTION("""COMPUTED_VALUE"""),"Define terms ‘phishing’ and ‘malware’")</f>
        <v>Define terms ‘phishing’ and ‘malware’</v>
      </c>
      <c r="F15" s="32"/>
      <c r="G15" s="33"/>
      <c r="H15" s="34" t="b">
        <f ca="1">IFERROR(__xludf.DUMMYFUNCTION("""COMPUTED_VALUE"""),TRUE)</f>
        <v>1</v>
      </c>
      <c r="I15" s="32"/>
      <c r="J15" s="33"/>
      <c r="K15" s="33"/>
      <c r="L15" s="33"/>
      <c r="M15" s="33"/>
      <c r="N15" s="33"/>
      <c r="O15" s="33"/>
      <c r="P15" s="33"/>
      <c r="Q15" s="33"/>
      <c r="R15" s="34" t="b">
        <f ca="1">IFERROR(__xludf.DUMMYFUNCTION("""COMPUTED_VALUE"""),TRUE)</f>
        <v>1</v>
      </c>
      <c r="S15" s="100"/>
      <c r="T15" s="35">
        <f ca="1">IFERROR(__xludf.DUMMYFUNCTION("ArrayFormula(mod(COUNTUNIQUE($C$3:C15),2))"),1)</f>
        <v>1</v>
      </c>
    </row>
    <row r="16" spans="1:20" ht="21">
      <c r="A16" s="30" t="str">
        <f ca="1">IFERROR(__xludf.DUMMYFUNCTION("""COMPUTED_VALUE"""),"Non-GCSE")</f>
        <v>Non-GCSE</v>
      </c>
      <c r="B16" s="30">
        <f ca="1">IFERROR(__xludf.DUMMYFUNCTION("""COMPUTED_VALUE"""),1)</f>
        <v>1</v>
      </c>
      <c r="C16" s="31" t="str">
        <f ca="1">IFERROR(__xludf.DUMMYFUNCTION("""COMPUTED_VALUE"""),"Online safety")</f>
        <v>Online safety</v>
      </c>
      <c r="D16" s="30">
        <f ca="1">IFERROR(__xludf.DUMMYFUNCTION("""COMPUTED_VALUE"""),5)</f>
        <v>5</v>
      </c>
      <c r="E16" s="31" t="str">
        <f ca="1">IFERROR(__xludf.DUMMYFUNCTION("""COMPUTED_VALUE"""),"Discuss ways in which data might be stolen")</f>
        <v>Discuss ways in which data might be stolen</v>
      </c>
      <c r="F16" s="32"/>
      <c r="G16" s="33"/>
      <c r="H16" s="34" t="b">
        <f ca="1">IFERROR(__xludf.DUMMYFUNCTION("""COMPUTED_VALUE"""),TRUE)</f>
        <v>1</v>
      </c>
      <c r="I16" s="32"/>
      <c r="J16" s="33"/>
      <c r="K16" s="33"/>
      <c r="L16" s="33"/>
      <c r="M16" s="33" t="b">
        <f ca="1">IFERROR(__xludf.DUMMYFUNCTION("""COMPUTED_VALUE"""),TRUE)</f>
        <v>1</v>
      </c>
      <c r="N16" s="33"/>
      <c r="O16" s="33" t="b">
        <f ca="1">IFERROR(__xludf.DUMMYFUNCTION("""COMPUTED_VALUE"""),TRUE)</f>
        <v>1</v>
      </c>
      <c r="P16" s="33"/>
      <c r="Q16" s="33"/>
      <c r="R16" s="34" t="b">
        <f ca="1">IFERROR(__xludf.DUMMYFUNCTION("""COMPUTED_VALUE"""),TRUE)</f>
        <v>1</v>
      </c>
      <c r="S16" s="100"/>
      <c r="T16" s="35">
        <f ca="1">IFERROR(__xludf.DUMMYFUNCTION("ArrayFormula(mod(COUNTUNIQUE($C$3:C16),2))"),1)</f>
        <v>1</v>
      </c>
    </row>
    <row r="17" spans="1:20" ht="28">
      <c r="A17" s="30" t="str">
        <f ca="1">IFERROR(__xludf.DUMMYFUNCTION("""COMPUTED_VALUE"""),"Non-GCSE")</f>
        <v>Non-GCSE</v>
      </c>
      <c r="B17" s="30">
        <f ca="1">IFERROR(__xludf.DUMMYFUNCTION("""COMPUTED_VALUE"""),1)</f>
        <v>1</v>
      </c>
      <c r="C17" s="31" t="str">
        <f ca="1">IFERROR(__xludf.DUMMYFUNCTION("""COMPUTED_VALUE"""),"Online safety")</f>
        <v>Online safety</v>
      </c>
      <c r="D17" s="30">
        <f ca="1">IFERROR(__xludf.DUMMYFUNCTION("""COMPUTED_VALUE"""),5)</f>
        <v>5</v>
      </c>
      <c r="E17" s="31" t="str">
        <f ca="1">IFERROR(__xludf.DUMMYFUNCTION("""COMPUTED_VALUE"""),"Evaluate what data created online is valuable, and to whom")</f>
        <v>Evaluate what data created online is valuable, and to whom</v>
      </c>
      <c r="F17" s="32"/>
      <c r="G17" s="33"/>
      <c r="H17" s="34" t="b">
        <f ca="1">IFERROR(__xludf.DUMMYFUNCTION("""COMPUTED_VALUE"""),TRUE)</f>
        <v>1</v>
      </c>
      <c r="I17" s="32"/>
      <c r="J17" s="33"/>
      <c r="K17" s="33"/>
      <c r="L17" s="33"/>
      <c r="M17" s="33" t="b">
        <f ca="1">IFERROR(__xludf.DUMMYFUNCTION("""COMPUTED_VALUE"""),TRUE)</f>
        <v>1</v>
      </c>
      <c r="N17" s="33"/>
      <c r="O17" s="33" t="b">
        <f ca="1">IFERROR(__xludf.DUMMYFUNCTION("""COMPUTED_VALUE"""),TRUE)</f>
        <v>1</v>
      </c>
      <c r="P17" s="33"/>
      <c r="Q17" s="33"/>
      <c r="R17" s="34"/>
      <c r="S17" s="100"/>
      <c r="T17" s="35">
        <f ca="1">IFERROR(__xludf.DUMMYFUNCTION("ArrayFormula(mod(COUNTUNIQUE($C$3:C17),2))"),1)</f>
        <v>1</v>
      </c>
    </row>
    <row r="18" spans="1:20" ht="21">
      <c r="A18" s="30" t="str">
        <f ca="1">IFERROR(__xludf.DUMMYFUNCTION("""COMPUTED_VALUE"""),"Non-GCSE")</f>
        <v>Non-GCSE</v>
      </c>
      <c r="B18" s="30">
        <f ca="1">IFERROR(__xludf.DUMMYFUNCTION("""COMPUTED_VALUE"""),1)</f>
        <v>1</v>
      </c>
      <c r="C18" s="31" t="str">
        <f ca="1">IFERROR(__xludf.DUMMYFUNCTION("""COMPUTED_VALUE"""),"Online safety")</f>
        <v>Online safety</v>
      </c>
      <c r="D18" s="30">
        <f ca="1">IFERROR(__xludf.DUMMYFUNCTION("""COMPUTED_VALUE"""),5)</f>
        <v>5</v>
      </c>
      <c r="E18" s="31" t="str">
        <f ca="1">IFERROR(__xludf.DUMMYFUNCTION("""COMPUTED_VALUE"""),"Identify ways to protect one’s data online")</f>
        <v>Identify ways to protect one’s data online</v>
      </c>
      <c r="F18" s="32"/>
      <c r="G18" s="33"/>
      <c r="H18" s="34" t="b">
        <f ca="1">IFERROR(__xludf.DUMMYFUNCTION("""COMPUTED_VALUE"""),TRUE)</f>
        <v>1</v>
      </c>
      <c r="I18" s="32"/>
      <c r="J18" s="33"/>
      <c r="K18" s="33"/>
      <c r="L18" s="33"/>
      <c r="M18" s="33"/>
      <c r="N18" s="33"/>
      <c r="O18" s="33"/>
      <c r="P18" s="33"/>
      <c r="Q18" s="33"/>
      <c r="R18" s="34" t="b">
        <f ca="1">IFERROR(__xludf.DUMMYFUNCTION("""COMPUTED_VALUE"""),TRUE)</f>
        <v>1</v>
      </c>
      <c r="S18" s="100"/>
      <c r="T18" s="35">
        <f ca="1">IFERROR(__xludf.DUMMYFUNCTION("ArrayFormula(mod(COUNTUNIQUE($C$3:C18),2))"),1)</f>
        <v>1</v>
      </c>
    </row>
    <row r="19" spans="1:20" ht="28">
      <c r="A19" s="30" t="str">
        <f ca="1">IFERROR(__xludf.DUMMYFUNCTION("""COMPUTED_VALUE"""),"Non-GCSE")</f>
        <v>Non-GCSE</v>
      </c>
      <c r="B19" s="30">
        <f ca="1">IFERROR(__xludf.DUMMYFUNCTION("""COMPUTED_VALUE"""),1)</f>
        <v>1</v>
      </c>
      <c r="C19" s="31" t="str">
        <f ca="1">IFERROR(__xludf.DUMMYFUNCTION("""COMPUTED_VALUE"""),"Online safety")</f>
        <v>Online safety</v>
      </c>
      <c r="D19" s="30">
        <f ca="1">IFERROR(__xludf.DUMMYFUNCTION("""COMPUTED_VALUE"""),6)</f>
        <v>6</v>
      </c>
      <c r="E19" s="31" t="str">
        <f ca="1">IFERROR(__xludf.DUMMYFUNCTION("""COMPUTED_VALUE"""),"Define the term ‘fake news’ and discuss the quantity of fake news available online")</f>
        <v>Define the term ‘fake news’ and discuss the quantity of fake news available online</v>
      </c>
      <c r="F19" s="32"/>
      <c r="G19" s="33"/>
      <c r="H19" s="34" t="b">
        <f ca="1">IFERROR(__xludf.DUMMYFUNCTION("""COMPUTED_VALUE"""),TRUE)</f>
        <v>1</v>
      </c>
      <c r="I19" s="32"/>
      <c r="J19" s="33"/>
      <c r="K19" s="33"/>
      <c r="L19" s="33"/>
      <c r="M19" s="33"/>
      <c r="N19" s="33"/>
      <c r="O19" s="33" t="b">
        <f ca="1">IFERROR(__xludf.DUMMYFUNCTION("""COMPUTED_VALUE"""),TRUE)</f>
        <v>1</v>
      </c>
      <c r="P19" s="33"/>
      <c r="Q19" s="33"/>
      <c r="R19" s="34"/>
      <c r="S19" s="100"/>
      <c r="T19" s="35">
        <f ca="1">IFERROR(__xludf.DUMMYFUNCTION("ArrayFormula(mod(COUNTUNIQUE($C$3:C19),2))"),1)</f>
        <v>1</v>
      </c>
    </row>
    <row r="20" spans="1:20" ht="21">
      <c r="A20" s="36" t="str">
        <f ca="1">IFERROR(__xludf.DUMMYFUNCTION("""COMPUTED_VALUE"""),"Non-GCSE")</f>
        <v>Non-GCSE</v>
      </c>
      <c r="B20" s="36">
        <f ca="1">IFERROR(__xludf.DUMMYFUNCTION("""COMPUTED_VALUE"""),1)</f>
        <v>1</v>
      </c>
      <c r="C20" s="37" t="str">
        <f ca="1">IFERROR(__xludf.DUMMYFUNCTION("""COMPUTED_VALUE"""),"Online safety")</f>
        <v>Online safety</v>
      </c>
      <c r="D20" s="36">
        <f ca="1">IFERROR(__xludf.DUMMYFUNCTION("""COMPUTED_VALUE"""),6)</f>
        <v>6</v>
      </c>
      <c r="E20" s="37" t="str">
        <f ca="1">IFERROR(__xludf.DUMMYFUNCTION("""COMPUTED_VALUE"""),"Discuss examples of disinformation spread online")</f>
        <v>Discuss examples of disinformation spread online</v>
      </c>
      <c r="F20" s="38"/>
      <c r="G20" s="39"/>
      <c r="H20" s="40" t="b">
        <f ca="1">IFERROR(__xludf.DUMMYFUNCTION("""COMPUTED_VALUE"""),TRUE)</f>
        <v>1</v>
      </c>
      <c r="I20" s="38"/>
      <c r="J20" s="39"/>
      <c r="K20" s="39"/>
      <c r="L20" s="39"/>
      <c r="M20" s="39"/>
      <c r="N20" s="39"/>
      <c r="O20" s="39" t="b">
        <f ca="1">IFERROR(__xludf.DUMMYFUNCTION("""COMPUTED_VALUE"""),TRUE)</f>
        <v>1</v>
      </c>
      <c r="P20" s="39"/>
      <c r="Q20" s="39"/>
      <c r="R20" s="40"/>
      <c r="S20" s="101"/>
      <c r="T20" s="35">
        <f ca="1">IFERROR(__xludf.DUMMYFUNCTION("ArrayFormula(mod(COUNTUNIQUE($C$3:C20),2))"),1)</f>
        <v>1</v>
      </c>
    </row>
    <row r="21" spans="1:20" ht="28">
      <c r="A21" s="42" t="str">
        <f ca="1">IFERROR(__xludf.DUMMYFUNCTION("""COMPUTED_VALUE"""),"Non-GCSE")</f>
        <v>Non-GCSE</v>
      </c>
      <c r="B21" s="42">
        <f ca="1">IFERROR(__xludf.DUMMYFUNCTION("""COMPUTED_VALUE"""),1)</f>
        <v>1</v>
      </c>
      <c r="C21" s="43" t="str">
        <f ca="1">IFERROR(__xludf.DUMMYFUNCTION("""COMPUTED_VALUE"""),"Online safety")</f>
        <v>Online safety</v>
      </c>
      <c r="D21" s="42">
        <f ca="1">IFERROR(__xludf.DUMMYFUNCTION("""COMPUTED_VALUE"""),6)</f>
        <v>6</v>
      </c>
      <c r="E21" s="43" t="str">
        <f ca="1">IFERROR(__xludf.DUMMYFUNCTION("""COMPUTED_VALUE"""),"Discuss ways of identifying fake news and other forms of disinformation")</f>
        <v>Discuss ways of identifying fake news and other forms of disinformation</v>
      </c>
      <c r="F21" s="44"/>
      <c r="G21" s="45"/>
      <c r="H21" s="46" t="b">
        <f ca="1">IFERROR(__xludf.DUMMYFUNCTION("""COMPUTED_VALUE"""),TRUE)</f>
        <v>1</v>
      </c>
      <c r="I21" s="48"/>
      <c r="J21" s="49"/>
      <c r="K21" s="49"/>
      <c r="L21" s="49"/>
      <c r="M21" s="49"/>
      <c r="N21" s="49"/>
      <c r="O21" s="49" t="b">
        <f ca="1">IFERROR(__xludf.DUMMYFUNCTION("""COMPUTED_VALUE"""),TRUE)</f>
        <v>1</v>
      </c>
      <c r="P21" s="49"/>
      <c r="Q21" s="49"/>
      <c r="R21" s="50"/>
      <c r="S21" s="102"/>
      <c r="T21" s="35">
        <f ca="1">IFERROR(__xludf.DUMMYFUNCTION("ArrayFormula(mod(COUNTUNIQUE($C$3:C21),2))"),1)</f>
        <v>1</v>
      </c>
    </row>
    <row r="22" spans="1:20" ht="21">
      <c r="A22" s="30" t="str">
        <f ca="1">IFERROR(__xludf.DUMMYFUNCTION("""COMPUTED_VALUE"""),"Non-GCSE")</f>
        <v>Non-GCSE</v>
      </c>
      <c r="B22" s="30">
        <f ca="1">IFERROR(__xludf.DUMMYFUNCTION("""COMPUTED_VALUE"""),1)</f>
        <v>1</v>
      </c>
      <c r="C22" s="31" t="str">
        <f ca="1">IFERROR(__xludf.DUMMYFUNCTION("""COMPUTED_VALUE"""),"Online safety")</f>
        <v>Online safety</v>
      </c>
      <c r="D22" s="30">
        <f ca="1">IFERROR(__xludf.DUMMYFUNCTION("""COMPUTED_VALUE"""),6)</f>
        <v>6</v>
      </c>
      <c r="E22" s="31" t="str">
        <f ca="1">IFERROR(__xludf.DUMMYFUNCTION("""COMPUTED_VALUE"""),"Identify why fake news exists and who creates it")</f>
        <v>Identify why fake news exists and who creates it</v>
      </c>
      <c r="F22" s="32"/>
      <c r="G22" s="33"/>
      <c r="H22" s="34" t="b">
        <f ca="1">IFERROR(__xludf.DUMMYFUNCTION("""COMPUTED_VALUE"""),TRUE)</f>
        <v>1</v>
      </c>
      <c r="I22" s="51"/>
      <c r="J22" s="52"/>
      <c r="K22" s="52"/>
      <c r="L22" s="52"/>
      <c r="M22" s="52"/>
      <c r="N22" s="52"/>
      <c r="O22" s="52" t="b">
        <f ca="1">IFERROR(__xludf.DUMMYFUNCTION("""COMPUTED_VALUE"""),TRUE)</f>
        <v>1</v>
      </c>
      <c r="P22" s="52"/>
      <c r="Q22" s="52"/>
      <c r="R22" s="53"/>
      <c r="S22" s="100"/>
      <c r="T22" s="35">
        <f ca="1">IFERROR(__xludf.DUMMYFUNCTION("ArrayFormula(mod(COUNTUNIQUE($C$3:C22),2))"),1)</f>
        <v>1</v>
      </c>
    </row>
    <row r="23" spans="1:20" ht="21">
      <c r="A23" s="30" t="str">
        <f ca="1">IFERROR(__xludf.DUMMYFUNCTION("""COMPUTED_VALUE"""),"Non-GCSE")</f>
        <v>Non-GCSE</v>
      </c>
      <c r="B23" s="30">
        <f ca="1">IFERROR(__xludf.DUMMYFUNCTION("""COMPUTED_VALUE"""),1)</f>
        <v>1</v>
      </c>
      <c r="C23" s="31" t="str">
        <f ca="1">IFERROR(__xludf.DUMMYFUNCTION("""COMPUTED_VALUE"""),"Online safety")</f>
        <v>Online safety</v>
      </c>
      <c r="D23" s="30">
        <f ca="1">IFERROR(__xludf.DUMMYFUNCTION("""COMPUTED_VALUE"""),7)</f>
        <v>7</v>
      </c>
      <c r="E23" s="31" t="str">
        <f ca="1">IFERROR(__xludf.DUMMYFUNCTION("""COMPUTED_VALUE"""),"Demonstrate how to report illegal online content")</f>
        <v>Demonstrate how to report illegal online content</v>
      </c>
      <c r="F23" s="32"/>
      <c r="G23" s="33"/>
      <c r="H23" s="53" t="b">
        <f ca="1">IFERROR(__xludf.DUMMYFUNCTION("""COMPUTED_VALUE"""),TRUE)</f>
        <v>1</v>
      </c>
      <c r="I23" s="51"/>
      <c r="J23" s="52"/>
      <c r="K23" s="52"/>
      <c r="L23" s="52"/>
      <c r="M23" s="52"/>
      <c r="N23" s="52"/>
      <c r="O23" s="52" t="b">
        <f ca="1">IFERROR(__xludf.DUMMYFUNCTION("""COMPUTED_VALUE"""),TRUE)</f>
        <v>1</v>
      </c>
      <c r="P23" s="52"/>
      <c r="Q23" s="52"/>
      <c r="R23" s="53" t="b">
        <f ca="1">IFERROR(__xludf.DUMMYFUNCTION("""COMPUTED_VALUE"""),TRUE)</f>
        <v>1</v>
      </c>
      <c r="S23" s="100"/>
      <c r="T23" s="35">
        <f ca="1">IFERROR(__xludf.DUMMYFUNCTION("ArrayFormula(mod(COUNTUNIQUE($C$3:C23),2))"),1)</f>
        <v>1</v>
      </c>
    </row>
    <row r="24" spans="1:20" ht="21">
      <c r="A24" s="30" t="str">
        <f ca="1">IFERROR(__xludf.DUMMYFUNCTION("""COMPUTED_VALUE"""),"Non-GCSE")</f>
        <v>Non-GCSE</v>
      </c>
      <c r="B24" s="30">
        <f ca="1">IFERROR(__xludf.DUMMYFUNCTION("""COMPUTED_VALUE"""),1)</f>
        <v>1</v>
      </c>
      <c r="C24" s="31" t="str">
        <f ca="1">IFERROR(__xludf.DUMMYFUNCTION("""COMPUTED_VALUE"""),"Online safety")</f>
        <v>Online safety</v>
      </c>
      <c r="D24" s="30">
        <f ca="1">IFERROR(__xludf.DUMMYFUNCTION("""COMPUTED_VALUE"""),7)</f>
        <v>7</v>
      </c>
      <c r="E24" s="31" t="str">
        <f ca="1">IFERROR(__xludf.DUMMYFUNCTION("""COMPUTED_VALUE"""),"Describe the UK laws governing online content")</f>
        <v>Describe the UK laws governing online content</v>
      </c>
      <c r="F24" s="32"/>
      <c r="G24" s="33"/>
      <c r="H24" s="53" t="b">
        <f ca="1">IFERROR(__xludf.DUMMYFUNCTION("""COMPUTED_VALUE"""),TRUE)</f>
        <v>1</v>
      </c>
      <c r="I24" s="51"/>
      <c r="J24" s="52"/>
      <c r="K24" s="52"/>
      <c r="L24" s="52"/>
      <c r="M24" s="52"/>
      <c r="N24" s="52"/>
      <c r="O24" s="52" t="b">
        <f ca="1">IFERROR(__xludf.DUMMYFUNCTION("""COMPUTED_VALUE"""),TRUE)</f>
        <v>1</v>
      </c>
      <c r="P24" s="52"/>
      <c r="Q24" s="52"/>
      <c r="R24" s="53"/>
      <c r="S24" s="100"/>
      <c r="T24" s="35">
        <f ca="1">IFERROR(__xludf.DUMMYFUNCTION("ArrayFormula(mod(COUNTUNIQUE($C$3:C24),2))"),1)</f>
        <v>1</v>
      </c>
    </row>
    <row r="25" spans="1:20" ht="21">
      <c r="A25" s="36" t="str">
        <f ca="1">IFERROR(__xludf.DUMMYFUNCTION("""COMPUTED_VALUE"""),"Non-GCSE")</f>
        <v>Non-GCSE</v>
      </c>
      <c r="B25" s="36">
        <f ca="1">IFERROR(__xludf.DUMMYFUNCTION("""COMPUTED_VALUE"""),1)</f>
        <v>1</v>
      </c>
      <c r="C25" s="37" t="str">
        <f ca="1">IFERROR(__xludf.DUMMYFUNCTION("""COMPUTED_VALUE"""),"Online safety")</f>
        <v>Online safety</v>
      </c>
      <c r="D25" s="36">
        <f ca="1">IFERROR(__xludf.DUMMYFUNCTION("""COMPUTED_VALUE"""),7)</f>
        <v>7</v>
      </c>
      <c r="E25" s="37" t="str">
        <f ca="1">IFERROR(__xludf.DUMMYFUNCTION("""COMPUTED_VALUE"""),"Discuss why policing online spaces can be difficult")</f>
        <v>Discuss why policing online spaces can be difficult</v>
      </c>
      <c r="F25" s="38"/>
      <c r="G25" s="39"/>
      <c r="H25" s="54" t="b">
        <f ca="1">IFERROR(__xludf.DUMMYFUNCTION("""COMPUTED_VALUE"""),TRUE)</f>
        <v>1</v>
      </c>
      <c r="I25" s="55"/>
      <c r="J25" s="56"/>
      <c r="K25" s="56"/>
      <c r="L25" s="56"/>
      <c r="M25" s="56"/>
      <c r="N25" s="56"/>
      <c r="O25" s="56" t="b">
        <f ca="1">IFERROR(__xludf.DUMMYFUNCTION("""COMPUTED_VALUE"""),TRUE)</f>
        <v>1</v>
      </c>
      <c r="P25" s="56"/>
      <c r="Q25" s="56"/>
      <c r="R25" s="54" t="b">
        <f ca="1">IFERROR(__xludf.DUMMYFUNCTION("""COMPUTED_VALUE"""),TRUE)</f>
        <v>1</v>
      </c>
      <c r="S25" s="101"/>
      <c r="T25" s="41">
        <f ca="1">IFERROR(__xludf.DUMMYFUNCTION("ArrayFormula(mod(COUNTUNIQUE($C$3:C25),2))"),1)</f>
        <v>1</v>
      </c>
    </row>
    <row r="26" spans="1:20" ht="28">
      <c r="A26" s="42" t="str">
        <f ca="1">IFERROR(__xludf.DUMMYFUNCTION("""COMPUTED_VALUE"""),"Non-GCSE")</f>
        <v>Non-GCSE</v>
      </c>
      <c r="B26" s="42">
        <f ca="1">IFERROR(__xludf.DUMMYFUNCTION("""COMPUTED_VALUE"""),1)</f>
        <v>1</v>
      </c>
      <c r="C26" s="43" t="str">
        <f ca="1">IFERROR(__xludf.DUMMYFUNCTION("""COMPUTED_VALUE"""),"Online safety")</f>
        <v>Online safety</v>
      </c>
      <c r="D26" s="42">
        <f ca="1">IFERROR(__xludf.DUMMYFUNCTION("""COMPUTED_VALUE"""),7)</f>
        <v>7</v>
      </c>
      <c r="E26" s="43" t="str">
        <f ca="1">IFERROR(__xludf.DUMMYFUNCTION("""COMPUTED_VALUE"""),"Explain why some content online can be potentially harmful")</f>
        <v>Explain why some content online can be potentially harmful</v>
      </c>
      <c r="F26" s="44"/>
      <c r="G26" s="45"/>
      <c r="H26" s="50" t="b">
        <f ca="1">IFERROR(__xludf.DUMMYFUNCTION("""COMPUTED_VALUE"""),TRUE)</f>
        <v>1</v>
      </c>
      <c r="I26" s="48"/>
      <c r="J26" s="49"/>
      <c r="K26" s="49"/>
      <c r="L26" s="49"/>
      <c r="M26" s="49"/>
      <c r="N26" s="49"/>
      <c r="O26" s="49" t="b">
        <f ca="1">IFERROR(__xludf.DUMMYFUNCTION("""COMPUTED_VALUE"""),TRUE)</f>
        <v>1</v>
      </c>
      <c r="P26" s="49"/>
      <c r="Q26" s="49"/>
      <c r="R26" s="50"/>
      <c r="S26" s="102"/>
      <c r="T26" s="47">
        <f ca="1">IFERROR(__xludf.DUMMYFUNCTION("ArrayFormula(mod(COUNTUNIQUE($C$3:C26),2))"),1)</f>
        <v>1</v>
      </c>
    </row>
    <row r="27" spans="1:20" ht="21">
      <c r="A27" s="30" t="str">
        <f ca="1">IFERROR(__xludf.DUMMYFUNCTION("""COMPUTED_VALUE"""),"Non-GCSE")</f>
        <v>Non-GCSE</v>
      </c>
      <c r="B27" s="30">
        <f ca="1">IFERROR(__xludf.DUMMYFUNCTION("""COMPUTED_VALUE"""),1)</f>
        <v>1</v>
      </c>
      <c r="C27" s="31" t="str">
        <f ca="1">IFERROR(__xludf.DUMMYFUNCTION("""COMPUTED_VALUE"""),"Online safety")</f>
        <v>Online safety</v>
      </c>
      <c r="D27" s="30">
        <f ca="1">IFERROR(__xludf.DUMMYFUNCTION("""COMPUTED_VALUE"""),8)</f>
        <v>8</v>
      </c>
      <c r="E27" s="31" t="str">
        <f ca="1">IFERROR(__xludf.DUMMYFUNCTION("""COMPUTED_VALUE"""),"Compare UK laws with those in other countries")</f>
        <v>Compare UK laws with those in other countries</v>
      </c>
      <c r="F27" s="32"/>
      <c r="G27" s="33"/>
      <c r="H27" s="53" t="b">
        <f ca="1">IFERROR(__xludf.DUMMYFUNCTION("""COMPUTED_VALUE"""),TRUE)</f>
        <v>1</v>
      </c>
      <c r="I27" s="51"/>
      <c r="J27" s="52"/>
      <c r="K27" s="52"/>
      <c r="L27" s="52"/>
      <c r="M27" s="52"/>
      <c r="N27" s="52"/>
      <c r="O27" s="52" t="b">
        <f ca="1">IFERROR(__xludf.DUMMYFUNCTION("""COMPUTED_VALUE"""),TRUE)</f>
        <v>1</v>
      </c>
      <c r="P27" s="52"/>
      <c r="Q27" s="52"/>
      <c r="R27" s="53"/>
      <c r="S27" s="100"/>
      <c r="T27" s="35">
        <f ca="1">IFERROR(__xludf.DUMMYFUNCTION("ArrayFormula(mod(COUNTUNIQUE($C$3:C27),2))"),1)</f>
        <v>1</v>
      </c>
    </row>
    <row r="28" spans="1:20" ht="42">
      <c r="A28" s="30" t="str">
        <f ca="1">IFERROR(__xludf.DUMMYFUNCTION("""COMPUTED_VALUE"""),"Non-GCSE")</f>
        <v>Non-GCSE</v>
      </c>
      <c r="B28" s="30">
        <f ca="1">IFERROR(__xludf.DUMMYFUNCTION("""COMPUTED_VALUE"""),1)</f>
        <v>1</v>
      </c>
      <c r="C28" s="31" t="str">
        <f ca="1">IFERROR(__xludf.DUMMYFUNCTION("""COMPUTED_VALUE"""),"Online safety")</f>
        <v>Online safety</v>
      </c>
      <c r="D28" s="30">
        <f ca="1">IFERROR(__xludf.DUMMYFUNCTION("""COMPUTED_VALUE"""),8)</f>
        <v>8</v>
      </c>
      <c r="E28" s="31" t="str">
        <f ca="1">IFERROR(__xludf.DUMMYFUNCTION("""COMPUTED_VALUE"""),"Debate the right to access information in the context of safety concerns online already discussed in this unit")</f>
        <v>Debate the right to access information in the context of safety concerns online already discussed in this unit</v>
      </c>
      <c r="F28" s="32"/>
      <c r="G28" s="33"/>
      <c r="H28" s="53" t="b">
        <f ca="1">IFERROR(__xludf.DUMMYFUNCTION("""COMPUTED_VALUE"""),TRUE)</f>
        <v>1</v>
      </c>
      <c r="I28" s="51"/>
      <c r="J28" s="52"/>
      <c r="K28" s="52"/>
      <c r="L28" s="52"/>
      <c r="M28" s="52"/>
      <c r="N28" s="52"/>
      <c r="O28" s="52" t="b">
        <f ca="1">IFERROR(__xludf.DUMMYFUNCTION("""COMPUTED_VALUE"""),TRUE)</f>
        <v>1</v>
      </c>
      <c r="P28" s="52"/>
      <c r="Q28" s="52"/>
      <c r="R28" s="53" t="b">
        <f ca="1">IFERROR(__xludf.DUMMYFUNCTION("""COMPUTED_VALUE"""),TRUE)</f>
        <v>1</v>
      </c>
      <c r="S28" s="100"/>
      <c r="T28" s="35">
        <f ca="1">IFERROR(__xludf.DUMMYFUNCTION("ArrayFormula(mod(COUNTUNIQUE($C$3:C28),2))"),1)</f>
        <v>1</v>
      </c>
    </row>
    <row r="29" spans="1:20" ht="28">
      <c r="A29" s="30" t="str">
        <f ca="1">IFERROR(__xludf.DUMMYFUNCTION("""COMPUTED_VALUE"""),"Non-GCSE")</f>
        <v>Non-GCSE</v>
      </c>
      <c r="B29" s="30">
        <f ca="1">IFERROR(__xludf.DUMMYFUNCTION("""COMPUTED_VALUE"""),1)</f>
        <v>1</v>
      </c>
      <c r="C29" s="31" t="str">
        <f ca="1">IFERROR(__xludf.DUMMYFUNCTION("""COMPUTED_VALUE"""),"Online safety")</f>
        <v>Online safety</v>
      </c>
      <c r="D29" s="30">
        <f ca="1">IFERROR(__xludf.DUMMYFUNCTION("""COMPUTED_VALUE"""),8)</f>
        <v>8</v>
      </c>
      <c r="E29" s="31" t="str">
        <f ca="1">IFERROR(__xludf.DUMMYFUNCTION("""COMPUTED_VALUE"""),"Discover different technologies used to access and share information online")</f>
        <v>Discover different technologies used to access and share information online</v>
      </c>
      <c r="F29" s="32"/>
      <c r="G29" s="33"/>
      <c r="H29" s="53" t="b">
        <f ca="1">IFERROR(__xludf.DUMMYFUNCTION("""COMPUTED_VALUE"""),TRUE)</f>
        <v>1</v>
      </c>
      <c r="I29" s="51"/>
      <c r="J29" s="52"/>
      <c r="K29" s="52" t="b">
        <f ca="1">IFERROR(__xludf.DUMMYFUNCTION("""COMPUTED_VALUE"""),TRUE)</f>
        <v>1</v>
      </c>
      <c r="L29" s="52"/>
      <c r="M29" s="52"/>
      <c r="N29" s="52"/>
      <c r="O29" s="52" t="b">
        <f ca="1">IFERROR(__xludf.DUMMYFUNCTION("""COMPUTED_VALUE"""),TRUE)</f>
        <v>1</v>
      </c>
      <c r="P29" s="52" t="b">
        <f ca="1">IFERROR(__xludf.DUMMYFUNCTION("""COMPUTED_VALUE"""),TRUE)</f>
        <v>1</v>
      </c>
      <c r="Q29" s="52"/>
      <c r="R29" s="53"/>
      <c r="S29" s="100"/>
      <c r="T29" s="35">
        <f ca="1">IFERROR(__xludf.DUMMYFUNCTION("ArrayFormula(mod(COUNTUNIQUE($C$3:C29),2))"),1)</f>
        <v>1</v>
      </c>
    </row>
    <row r="30" spans="1:20" ht="28">
      <c r="A30" s="30" t="str">
        <f ca="1">IFERROR(__xludf.DUMMYFUNCTION("""COMPUTED_VALUE"""),"Non-GCSE")</f>
        <v>Non-GCSE</v>
      </c>
      <c r="B30" s="30">
        <f ca="1">IFERROR(__xludf.DUMMYFUNCTION("""COMPUTED_VALUE"""),1)</f>
        <v>1</v>
      </c>
      <c r="C30" s="31" t="str">
        <f ca="1">IFERROR(__xludf.DUMMYFUNCTION("""COMPUTED_VALUE"""),"Online safety")</f>
        <v>Online safety</v>
      </c>
      <c r="D30" s="30">
        <f ca="1">IFERROR(__xludf.DUMMYFUNCTION("""COMPUTED_VALUE"""),8)</f>
        <v>8</v>
      </c>
      <c r="E30" s="31" t="str">
        <f ca="1">IFERROR(__xludf.DUMMYFUNCTION("""COMPUTED_VALUE"""),"Discuss how we decide what content should be illegal")</f>
        <v>Discuss how we decide what content should be illegal</v>
      </c>
      <c r="F30" s="32"/>
      <c r="G30" s="33"/>
      <c r="H30" s="53" t="b">
        <f ca="1">IFERROR(__xludf.DUMMYFUNCTION("""COMPUTED_VALUE"""),TRUE)</f>
        <v>1</v>
      </c>
      <c r="I30" s="51"/>
      <c r="J30" s="52"/>
      <c r="K30" s="52"/>
      <c r="L30" s="52"/>
      <c r="M30" s="52"/>
      <c r="N30" s="52"/>
      <c r="O30" s="52" t="b">
        <f ca="1">IFERROR(__xludf.DUMMYFUNCTION("""COMPUTED_VALUE"""),TRUE)</f>
        <v>1</v>
      </c>
      <c r="P30" s="52"/>
      <c r="Q30" s="52"/>
      <c r="R30" s="53" t="b">
        <f ca="1">IFERROR(__xludf.DUMMYFUNCTION("""COMPUTED_VALUE"""),TRUE)</f>
        <v>1</v>
      </c>
      <c r="S30" s="100"/>
      <c r="T30" s="35">
        <f ca="1">IFERROR(__xludf.DUMMYFUNCTION("ArrayFormula(mod(COUNTUNIQUE($C$3:C30),2))"),1)</f>
        <v>1</v>
      </c>
    </row>
    <row r="31" spans="1:20" ht="42">
      <c r="A31" s="30" t="str">
        <f ca="1">IFERROR(__xludf.DUMMYFUNCTION("""COMPUTED_VALUE"""),"Non-GCSE")</f>
        <v>Non-GCSE</v>
      </c>
      <c r="B31" s="30">
        <f ca="1">IFERROR(__xludf.DUMMYFUNCTION("""COMPUTED_VALUE"""),1)</f>
        <v>1</v>
      </c>
      <c r="C31" s="31" t="str">
        <f ca="1">IFERROR(__xludf.DUMMYFUNCTION("""COMPUTED_VALUE"""),"Online safety")</f>
        <v>Online safety</v>
      </c>
      <c r="D31" s="30">
        <f ca="1">IFERROR(__xludf.DUMMYFUNCTION("""COMPUTED_VALUE"""),9)</f>
        <v>9</v>
      </c>
      <c r="E31" s="31" t="str">
        <f ca="1">IFERROR(__xludf.DUMMYFUNCTION("""COMPUTED_VALUE"""),"Discuss the impact this might have on different people’s online experiences and the potential disadvantages of living in an online bubble")</f>
        <v>Discuss the impact this might have on different people’s online experiences and the potential disadvantages of living in an online bubble</v>
      </c>
      <c r="F31" s="32"/>
      <c r="G31" s="33"/>
      <c r="H31" s="53" t="b">
        <f ca="1">IFERROR(__xludf.DUMMYFUNCTION("""COMPUTED_VALUE"""),TRUE)</f>
        <v>1</v>
      </c>
      <c r="I31" s="51"/>
      <c r="J31" s="52"/>
      <c r="K31" s="52"/>
      <c r="L31" s="52"/>
      <c r="M31" s="52" t="b">
        <f ca="1">IFERROR(__xludf.DUMMYFUNCTION("""COMPUTED_VALUE"""),TRUE)</f>
        <v>1</v>
      </c>
      <c r="N31" s="52"/>
      <c r="O31" s="52" t="b">
        <f ca="1">IFERROR(__xludf.DUMMYFUNCTION("""COMPUTED_VALUE"""),TRUE)</f>
        <v>1</v>
      </c>
      <c r="P31" s="52"/>
      <c r="Q31" s="52"/>
      <c r="R31" s="53" t="b">
        <f ca="1">IFERROR(__xludf.DUMMYFUNCTION("""COMPUTED_VALUE"""),TRUE)</f>
        <v>1</v>
      </c>
      <c r="S31" s="100"/>
      <c r="T31" s="35">
        <f ca="1">IFERROR(__xludf.DUMMYFUNCTION("ArrayFormula(mod(COUNTUNIQUE($C$3:C31),2))"),1)</f>
        <v>1</v>
      </c>
    </row>
    <row r="32" spans="1:20" ht="28">
      <c r="A32" s="30" t="str">
        <f ca="1">IFERROR(__xludf.DUMMYFUNCTION("""COMPUTED_VALUE"""),"Non-GCSE")</f>
        <v>Non-GCSE</v>
      </c>
      <c r="B32" s="30">
        <f ca="1">IFERROR(__xludf.DUMMYFUNCTION("""COMPUTED_VALUE"""),1)</f>
        <v>1</v>
      </c>
      <c r="C32" s="31" t="str">
        <f ca="1">IFERROR(__xludf.DUMMYFUNCTION("""COMPUTED_VALUE"""),"Online safety")</f>
        <v>Online safety</v>
      </c>
      <c r="D32" s="30">
        <f ca="1">IFERROR(__xludf.DUMMYFUNCTION("""COMPUTED_VALUE"""),9)</f>
        <v>9</v>
      </c>
      <c r="E32" s="31" t="str">
        <f ca="1">IFERROR(__xludf.DUMMYFUNCTION("""COMPUTED_VALUE"""),"Reflect on how big data and other tools help to target information to specific users")</f>
        <v>Reflect on how big data and other tools help to target information to specific users</v>
      </c>
      <c r="F32" s="32"/>
      <c r="G32" s="33"/>
      <c r="H32" s="53" t="b">
        <f ca="1">IFERROR(__xludf.DUMMYFUNCTION("""COMPUTED_VALUE"""),TRUE)</f>
        <v>1</v>
      </c>
      <c r="I32" s="51"/>
      <c r="J32" s="52"/>
      <c r="K32" s="52"/>
      <c r="L32" s="52"/>
      <c r="M32" s="52" t="b">
        <f ca="1">IFERROR(__xludf.DUMMYFUNCTION("""COMPUTED_VALUE"""),TRUE)</f>
        <v>1</v>
      </c>
      <c r="N32" s="52"/>
      <c r="O32" s="52" t="b">
        <f ca="1">IFERROR(__xludf.DUMMYFUNCTION("""COMPUTED_VALUE"""),TRUE)</f>
        <v>1</v>
      </c>
      <c r="P32" s="52"/>
      <c r="Q32" s="52"/>
      <c r="R32" s="53"/>
      <c r="S32" s="100"/>
      <c r="T32" s="35">
        <f ca="1">IFERROR(__xludf.DUMMYFUNCTION("ArrayFormula(mod(COUNTUNIQUE($C$3:C32),2))"),1)</f>
        <v>1</v>
      </c>
    </row>
    <row r="33" spans="1:20" ht="21">
      <c r="A33" s="30" t="str">
        <f ca="1">IFERROR(__xludf.DUMMYFUNCTION("""COMPUTED_VALUE"""),"Non-GCSE")</f>
        <v>Non-GCSE</v>
      </c>
      <c r="B33" s="30">
        <f ca="1">IFERROR(__xludf.DUMMYFUNCTION("""COMPUTED_VALUE"""),1)</f>
        <v>1</v>
      </c>
      <c r="C33" s="31" t="str">
        <f ca="1">IFERROR(__xludf.DUMMYFUNCTION("""COMPUTED_VALUE"""),"Online safety")</f>
        <v>Online safety</v>
      </c>
      <c r="D33" s="30">
        <f ca="1">IFERROR(__xludf.DUMMYFUNCTION("""COMPUTED_VALUE"""),10)</f>
        <v>10</v>
      </c>
      <c r="E33" s="31" t="str">
        <f ca="1">IFERROR(__xludf.DUMMYFUNCTION("""COMPUTED_VALUE"""),"Contemplate the potential harms of being online")</f>
        <v>Contemplate the potential harms of being online</v>
      </c>
      <c r="F33" s="32"/>
      <c r="G33" s="33"/>
      <c r="H33" s="53" t="b">
        <f ca="1">IFERROR(__xludf.DUMMYFUNCTION("""COMPUTED_VALUE"""),TRUE)</f>
        <v>1</v>
      </c>
      <c r="I33" s="51"/>
      <c r="J33" s="52"/>
      <c r="K33" s="52"/>
      <c r="L33" s="52"/>
      <c r="M33" s="52"/>
      <c r="N33" s="52"/>
      <c r="O33" s="52" t="b">
        <f ca="1">IFERROR(__xludf.DUMMYFUNCTION("""COMPUTED_VALUE"""),TRUE)</f>
        <v>1</v>
      </c>
      <c r="P33" s="52" t="b">
        <f ca="1">IFERROR(__xludf.DUMMYFUNCTION("""COMPUTED_VALUE"""),TRUE)</f>
        <v>1</v>
      </c>
      <c r="Q33" s="52"/>
      <c r="R33" s="53" t="b">
        <f ca="1">IFERROR(__xludf.DUMMYFUNCTION("""COMPUTED_VALUE"""),TRUE)</f>
        <v>1</v>
      </c>
      <c r="S33" s="100"/>
      <c r="T33" s="35">
        <f ca="1">IFERROR(__xludf.DUMMYFUNCTION("ArrayFormula(mod(COUNTUNIQUE($C$3:C33),2))"),1)</f>
        <v>1</v>
      </c>
    </row>
    <row r="34" spans="1:20" ht="28">
      <c r="A34" s="30" t="str">
        <f ca="1">IFERROR(__xludf.DUMMYFUNCTION("""COMPUTED_VALUE"""),"Non-GCSE")</f>
        <v>Non-GCSE</v>
      </c>
      <c r="B34" s="30">
        <f ca="1">IFERROR(__xludf.DUMMYFUNCTION("""COMPUTED_VALUE"""),1)</f>
        <v>1</v>
      </c>
      <c r="C34" s="31" t="str">
        <f ca="1">IFERROR(__xludf.DUMMYFUNCTION("""COMPUTED_VALUE"""),"Online safety")</f>
        <v>Online safety</v>
      </c>
      <c r="D34" s="30">
        <f ca="1">IFERROR(__xludf.DUMMYFUNCTION("""COMPUTED_VALUE"""),10)</f>
        <v>10</v>
      </c>
      <c r="E34" s="31" t="str">
        <f ca="1">IFERROR(__xludf.DUMMYFUNCTION("""COMPUTED_VALUE"""),"Determine practical actions that can be made to protect oneself online")</f>
        <v>Determine practical actions that can be made to protect oneself online</v>
      </c>
      <c r="F34" s="32"/>
      <c r="G34" s="33"/>
      <c r="H34" s="53" t="b">
        <f ca="1">IFERROR(__xludf.DUMMYFUNCTION("""COMPUTED_VALUE"""),TRUE)</f>
        <v>1</v>
      </c>
      <c r="I34" s="51"/>
      <c r="J34" s="52"/>
      <c r="K34" s="52"/>
      <c r="L34" s="52"/>
      <c r="M34" s="52"/>
      <c r="N34" s="52"/>
      <c r="O34" s="52" t="b">
        <f ca="1">IFERROR(__xludf.DUMMYFUNCTION("""COMPUTED_VALUE"""),TRUE)</f>
        <v>1</v>
      </c>
      <c r="P34" s="52" t="b">
        <f ca="1">IFERROR(__xludf.DUMMYFUNCTION("""COMPUTED_VALUE"""),TRUE)</f>
        <v>1</v>
      </c>
      <c r="Q34" s="52"/>
      <c r="R34" s="53" t="b">
        <f ca="1">IFERROR(__xludf.DUMMYFUNCTION("""COMPUTED_VALUE"""),TRUE)</f>
        <v>1</v>
      </c>
      <c r="S34" s="100"/>
      <c r="T34" s="35">
        <f ca="1">IFERROR(__xludf.DUMMYFUNCTION("ArrayFormula(mod(COUNTUNIQUE($C$3:C34),2))"),1)</f>
        <v>1</v>
      </c>
    </row>
    <row r="35" spans="1:20" ht="21">
      <c r="A35" s="57" t="str">
        <f ca="1">IFERROR(__xludf.DUMMYFUNCTION("""COMPUTED_VALUE"""),"Non-GCSE")</f>
        <v>Non-GCSE</v>
      </c>
      <c r="B35" s="57">
        <f ca="1">IFERROR(__xludf.DUMMYFUNCTION("""COMPUTED_VALUE"""),1)</f>
        <v>1</v>
      </c>
      <c r="C35" s="58" t="str">
        <f ca="1">IFERROR(__xludf.DUMMYFUNCTION("""COMPUTED_VALUE"""),"Online safety")</f>
        <v>Online safety</v>
      </c>
      <c r="D35" s="57">
        <f ca="1">IFERROR(__xludf.DUMMYFUNCTION("""COMPUTED_VALUE"""),10)</f>
        <v>10</v>
      </c>
      <c r="E35" s="58" t="str">
        <f ca="1">IFERROR(__xludf.DUMMYFUNCTION("""COMPUTED_VALUE"""),"Summarise key aspects of online safety")</f>
        <v>Summarise key aspects of online safety</v>
      </c>
      <c r="F35" s="59"/>
      <c r="G35" s="60"/>
      <c r="H35" s="61" t="b">
        <f ca="1">IFERROR(__xludf.DUMMYFUNCTION("""COMPUTED_VALUE"""),TRUE)</f>
        <v>1</v>
      </c>
      <c r="I35" s="62"/>
      <c r="J35" s="63"/>
      <c r="K35" s="63" t="b">
        <f ca="1">IFERROR(__xludf.DUMMYFUNCTION("""COMPUTED_VALUE"""),TRUE)</f>
        <v>1</v>
      </c>
      <c r="L35" s="63"/>
      <c r="M35" s="63" t="b">
        <f ca="1">IFERROR(__xludf.DUMMYFUNCTION("""COMPUTED_VALUE"""),TRUE)</f>
        <v>1</v>
      </c>
      <c r="N35" s="63"/>
      <c r="O35" s="63" t="b">
        <f ca="1">IFERROR(__xludf.DUMMYFUNCTION("""COMPUTED_VALUE"""),TRUE)</f>
        <v>1</v>
      </c>
      <c r="P35" s="63" t="b">
        <f ca="1">IFERROR(__xludf.DUMMYFUNCTION("""COMPUTED_VALUE"""),TRUE)</f>
        <v>1</v>
      </c>
      <c r="Q35" s="63"/>
      <c r="R35" s="61" t="b">
        <f ca="1">IFERROR(__xludf.DUMMYFUNCTION("""COMPUTED_VALUE"""),TRUE)</f>
        <v>1</v>
      </c>
      <c r="S35" s="103"/>
      <c r="T35" s="64">
        <f ca="1">IFERROR(__xludf.DUMMYFUNCTION("ArrayFormula(mod(COUNTUNIQUE($C$3:C35),2))"),1)</f>
        <v>1</v>
      </c>
    </row>
    <row r="36" spans="1:20" ht="28">
      <c r="A36" s="24" t="str">
        <f ca="1">IFERROR(__xludf.DUMMYFUNCTION("""COMPUTED_VALUE"""),"Non-GCSE")</f>
        <v>Non-GCSE</v>
      </c>
      <c r="B36" s="24">
        <f ca="1">IFERROR(__xludf.DUMMYFUNCTION("""COMPUTED_VALUE"""),2)</f>
        <v>2</v>
      </c>
      <c r="C36" s="25" t="str">
        <f ca="1">IFERROR(__xludf.DUMMYFUNCTION("""COMPUTED_VALUE"""),"IT and the world of work")</f>
        <v>IT and the world of work</v>
      </c>
      <c r="D36" s="24">
        <f ca="1">IFERROR(__xludf.DUMMYFUNCTION("""COMPUTED_VALUE"""),1)</f>
        <v>1</v>
      </c>
      <c r="E36" s="25" t="str">
        <f ca="1">IFERROR(__xludf.DUMMYFUNCTION("""COMPUTED_VALUE"""),"Compare inclusivity and accessibility within traditional and modern teams")</f>
        <v>Compare inclusivity and accessibility within traditional and modern teams</v>
      </c>
      <c r="F36" s="26" t="b">
        <f ca="1">IFERROR(__xludf.DUMMYFUNCTION("""COMPUTED_VALUE"""),TRUE)</f>
        <v>1</v>
      </c>
      <c r="G36" s="27"/>
      <c r="H36" s="65"/>
      <c r="I36" s="66"/>
      <c r="J36" s="67"/>
      <c r="K36" s="67"/>
      <c r="L36" s="67" t="b">
        <f ca="1">IFERROR(__xludf.DUMMYFUNCTION("""COMPUTED_VALUE"""),TRUE)</f>
        <v>1</v>
      </c>
      <c r="M36" s="67"/>
      <c r="N36" s="67"/>
      <c r="O36" s="67" t="b">
        <f ca="1">IFERROR(__xludf.DUMMYFUNCTION("""COMPUTED_VALUE"""),TRUE)</f>
        <v>1</v>
      </c>
      <c r="P36" s="67"/>
      <c r="Q36" s="67"/>
      <c r="R36" s="65"/>
      <c r="S36" s="99"/>
      <c r="T36" s="29">
        <f ca="1">IFERROR(__xludf.DUMMYFUNCTION("ArrayFormula(mod(COUNTUNIQUE($C$3:C36),2))"),0)</f>
        <v>0</v>
      </c>
    </row>
    <row r="37" spans="1:20" ht="28">
      <c r="A37" s="30" t="str">
        <f ca="1">IFERROR(__xludf.DUMMYFUNCTION("""COMPUTED_VALUE"""),"Non-GCSE")</f>
        <v>Non-GCSE</v>
      </c>
      <c r="B37" s="30">
        <f ca="1">IFERROR(__xludf.DUMMYFUNCTION("""COMPUTED_VALUE"""),2)</f>
        <v>2</v>
      </c>
      <c r="C37" s="31" t="str">
        <f ca="1">IFERROR(__xludf.DUMMYFUNCTION("""COMPUTED_VALUE"""),"IT and the world of work")</f>
        <v>IT and the world of work</v>
      </c>
      <c r="D37" s="30">
        <f ca="1">IFERROR(__xludf.DUMMYFUNCTION("""COMPUTED_VALUE"""),1)</f>
        <v>1</v>
      </c>
      <c r="E37" s="31" t="str">
        <f ca="1">IFERROR(__xludf.DUMMYFUNCTION("""COMPUTED_VALUE"""),"Examine traditional and modern team working")</f>
        <v>Examine traditional and modern team working</v>
      </c>
      <c r="F37" s="32" t="b">
        <f ca="1">IFERROR(__xludf.DUMMYFUNCTION("""COMPUTED_VALUE"""),TRUE)</f>
        <v>1</v>
      </c>
      <c r="G37" s="33"/>
      <c r="H37" s="53"/>
      <c r="I37" s="51"/>
      <c r="J37" s="52"/>
      <c r="K37" s="52"/>
      <c r="L37" s="52" t="b">
        <f ca="1">IFERROR(__xludf.DUMMYFUNCTION("""COMPUTED_VALUE"""),TRUE)</f>
        <v>1</v>
      </c>
      <c r="M37" s="52"/>
      <c r="N37" s="52"/>
      <c r="O37" s="52" t="b">
        <f ca="1">IFERROR(__xludf.DUMMYFUNCTION("""COMPUTED_VALUE"""),TRUE)</f>
        <v>1</v>
      </c>
      <c r="P37" s="52"/>
      <c r="Q37" s="52"/>
      <c r="R37" s="53"/>
      <c r="S37" s="100"/>
      <c r="T37" s="35">
        <f ca="1">IFERROR(__xludf.DUMMYFUNCTION("ArrayFormula(mod(COUNTUNIQUE($C$3:C37),2))"),0)</f>
        <v>0</v>
      </c>
    </row>
    <row r="38" spans="1:20" ht="28">
      <c r="A38" s="30" t="str">
        <f ca="1">IFERROR(__xludf.DUMMYFUNCTION("""COMPUTED_VALUE"""),"Non-GCSE")</f>
        <v>Non-GCSE</v>
      </c>
      <c r="B38" s="30">
        <f ca="1">IFERROR(__xludf.DUMMYFUNCTION("""COMPUTED_VALUE"""),2)</f>
        <v>2</v>
      </c>
      <c r="C38" s="31" t="str">
        <f ca="1">IFERROR(__xludf.DUMMYFUNCTION("""COMPUTED_VALUE"""),"IT and the world of work")</f>
        <v>IT and the world of work</v>
      </c>
      <c r="D38" s="30">
        <f ca="1">IFERROR(__xludf.DUMMYFUNCTION("""COMPUTED_VALUE"""),1)</f>
        <v>1</v>
      </c>
      <c r="E38" s="31" t="str">
        <f ca="1">IFERROR(__xludf.DUMMYFUNCTION("""COMPUTED_VALUE"""),"Interpret the advantages and disadvantages of 24/7/365 availability")</f>
        <v>Interpret the advantages and disadvantages of 24/7/365 availability</v>
      </c>
      <c r="F38" s="32" t="b">
        <f ca="1">IFERROR(__xludf.DUMMYFUNCTION("""COMPUTED_VALUE"""),TRUE)</f>
        <v>1</v>
      </c>
      <c r="G38" s="33"/>
      <c r="H38" s="53"/>
      <c r="I38" s="51"/>
      <c r="J38" s="52"/>
      <c r="K38" s="52"/>
      <c r="L38" s="52" t="b">
        <f ca="1">IFERROR(__xludf.DUMMYFUNCTION("""COMPUTED_VALUE"""),TRUE)</f>
        <v>1</v>
      </c>
      <c r="M38" s="52"/>
      <c r="N38" s="52"/>
      <c r="O38" s="52" t="b">
        <f ca="1">IFERROR(__xludf.DUMMYFUNCTION("""COMPUTED_VALUE"""),TRUE)</f>
        <v>1</v>
      </c>
      <c r="P38" s="52"/>
      <c r="Q38" s="52"/>
      <c r="R38" s="53"/>
      <c r="S38" s="100"/>
      <c r="T38" s="35">
        <f ca="1">IFERROR(__xludf.DUMMYFUNCTION("ArrayFormula(mod(COUNTUNIQUE($C$3:C38),2))"),0)</f>
        <v>0</v>
      </c>
    </row>
    <row r="39" spans="1:20" ht="28">
      <c r="A39" s="30" t="str">
        <f ca="1">IFERROR(__xludf.DUMMYFUNCTION("""COMPUTED_VALUE"""),"Non-GCSE")</f>
        <v>Non-GCSE</v>
      </c>
      <c r="B39" s="30">
        <f ca="1">IFERROR(__xludf.DUMMYFUNCTION("""COMPUTED_VALUE"""),2)</f>
        <v>2</v>
      </c>
      <c r="C39" s="31" t="str">
        <f ca="1">IFERROR(__xludf.DUMMYFUNCTION("""COMPUTED_VALUE"""),"IT and the world of work")</f>
        <v>IT and the world of work</v>
      </c>
      <c r="D39" s="30">
        <f ca="1">IFERROR(__xludf.DUMMYFUNCTION("""COMPUTED_VALUE"""),2)</f>
        <v>2</v>
      </c>
      <c r="E39" s="31" t="str">
        <f ca="1">IFERROR(__xludf.DUMMYFUNCTION("""COMPUTED_VALUE"""),"Evaluate collaborative working")</f>
        <v>Evaluate collaborative working</v>
      </c>
      <c r="F39" s="32" t="b">
        <f ca="1">IFERROR(__xludf.DUMMYFUNCTION("""COMPUTED_VALUE"""),TRUE)</f>
        <v>1</v>
      </c>
      <c r="G39" s="33"/>
      <c r="H39" s="53"/>
      <c r="I39" s="51"/>
      <c r="J39" s="52"/>
      <c r="K39" s="52"/>
      <c r="L39" s="52" t="b">
        <f ca="1">IFERROR(__xludf.DUMMYFUNCTION("""COMPUTED_VALUE"""),TRUE)</f>
        <v>1</v>
      </c>
      <c r="M39" s="52"/>
      <c r="N39" s="52" t="b">
        <f ca="1">IFERROR(__xludf.DUMMYFUNCTION("""COMPUTED_VALUE"""),TRUE)</f>
        <v>1</v>
      </c>
      <c r="O39" s="52" t="b">
        <f ca="1">IFERROR(__xludf.DUMMYFUNCTION("""COMPUTED_VALUE"""),TRUE)</f>
        <v>1</v>
      </c>
      <c r="P39" s="52"/>
      <c r="Q39" s="52"/>
      <c r="R39" s="53"/>
      <c r="S39" s="100"/>
      <c r="T39" s="35">
        <f ca="1">IFERROR(__xludf.DUMMYFUNCTION("ArrayFormula(mod(COUNTUNIQUE($C$3:C39),2))"),0)</f>
        <v>0</v>
      </c>
    </row>
    <row r="40" spans="1:20" ht="28">
      <c r="A40" s="30" t="str">
        <f ca="1">IFERROR(__xludf.DUMMYFUNCTION("""COMPUTED_VALUE"""),"Non-GCSE")</f>
        <v>Non-GCSE</v>
      </c>
      <c r="B40" s="30">
        <f ca="1">IFERROR(__xludf.DUMMYFUNCTION("""COMPUTED_VALUE"""),2)</f>
        <v>2</v>
      </c>
      <c r="C40" s="31" t="str">
        <f ca="1">IFERROR(__xludf.DUMMYFUNCTION("""COMPUTED_VALUE"""),"IT and the world of work")</f>
        <v>IT and the world of work</v>
      </c>
      <c r="D40" s="30">
        <f ca="1">IFERROR(__xludf.DUMMYFUNCTION("""COMPUTED_VALUE"""),2)</f>
        <v>2</v>
      </c>
      <c r="E40" s="31" t="str">
        <f ca="1">IFERROR(__xludf.DUMMYFUNCTION("""COMPUTED_VALUE"""),"Examine modern technology tools that assist inclusivity and accessibility")</f>
        <v>Examine modern technology tools that assist inclusivity and accessibility</v>
      </c>
      <c r="F40" s="32" t="b">
        <f ca="1">IFERROR(__xludf.DUMMYFUNCTION("""COMPUTED_VALUE"""),TRUE)</f>
        <v>1</v>
      </c>
      <c r="G40" s="33"/>
      <c r="H40" s="53"/>
      <c r="I40" s="51"/>
      <c r="J40" s="52"/>
      <c r="K40" s="52"/>
      <c r="L40" s="52" t="b">
        <f ca="1">IFERROR(__xludf.DUMMYFUNCTION("""COMPUTED_VALUE"""),TRUE)</f>
        <v>1</v>
      </c>
      <c r="M40" s="52"/>
      <c r="N40" s="52"/>
      <c r="O40" s="52" t="b">
        <f ca="1">IFERROR(__xludf.DUMMYFUNCTION("""COMPUTED_VALUE"""),TRUE)</f>
        <v>1</v>
      </c>
      <c r="P40" s="52"/>
      <c r="Q40" s="52"/>
      <c r="R40" s="53"/>
      <c r="S40" s="100"/>
      <c r="T40" s="35">
        <f ca="1">IFERROR(__xludf.DUMMYFUNCTION("ArrayFormula(mod(COUNTUNIQUE($C$3:C40),2))"),0)</f>
        <v>0</v>
      </c>
    </row>
    <row r="41" spans="1:20" ht="28">
      <c r="A41" s="30" t="str">
        <f ca="1">IFERROR(__xludf.DUMMYFUNCTION("""COMPUTED_VALUE"""),"Non-GCSE")</f>
        <v>Non-GCSE</v>
      </c>
      <c r="B41" s="30">
        <f ca="1">IFERROR(__xludf.DUMMYFUNCTION("""COMPUTED_VALUE"""),2)</f>
        <v>2</v>
      </c>
      <c r="C41" s="31" t="str">
        <f ca="1">IFERROR(__xludf.DUMMYFUNCTION("""COMPUTED_VALUE"""),"IT and the world of work")</f>
        <v>IT and the world of work</v>
      </c>
      <c r="D41" s="30">
        <f ca="1">IFERROR(__xludf.DUMMYFUNCTION("""COMPUTED_VALUE"""),2)</f>
        <v>2</v>
      </c>
      <c r="E41" s="31" t="str">
        <f ca="1">IFERROR(__xludf.DUMMYFUNCTION("""COMPUTED_VALUE"""),"Explore communication tools")</f>
        <v>Explore communication tools</v>
      </c>
      <c r="F41" s="32" t="b">
        <f ca="1">IFERROR(__xludf.DUMMYFUNCTION("""COMPUTED_VALUE"""),TRUE)</f>
        <v>1</v>
      </c>
      <c r="G41" s="33"/>
      <c r="H41" s="53"/>
      <c r="I41" s="51"/>
      <c r="J41" s="52"/>
      <c r="K41" s="52"/>
      <c r="L41" s="52" t="b">
        <f ca="1">IFERROR(__xludf.DUMMYFUNCTION("""COMPUTED_VALUE"""),TRUE)</f>
        <v>1</v>
      </c>
      <c r="M41" s="52"/>
      <c r="N41" s="52" t="b">
        <f ca="1">IFERROR(__xludf.DUMMYFUNCTION("""COMPUTED_VALUE"""),TRUE)</f>
        <v>1</v>
      </c>
      <c r="O41" s="52" t="b">
        <f ca="1">IFERROR(__xludf.DUMMYFUNCTION("""COMPUTED_VALUE"""),TRUE)</f>
        <v>1</v>
      </c>
      <c r="P41" s="52"/>
      <c r="Q41" s="52"/>
      <c r="R41" s="53"/>
      <c r="S41" s="100"/>
      <c r="T41" s="35">
        <f ca="1">IFERROR(__xludf.DUMMYFUNCTION("ArrayFormula(mod(COUNTUNIQUE($C$3:C41),2))"),0)</f>
        <v>0</v>
      </c>
    </row>
    <row r="42" spans="1:20" ht="28">
      <c r="A42" s="36" t="str">
        <f ca="1">IFERROR(__xludf.DUMMYFUNCTION("""COMPUTED_VALUE"""),"Non-GCSE")</f>
        <v>Non-GCSE</v>
      </c>
      <c r="B42" s="36">
        <f ca="1">IFERROR(__xludf.DUMMYFUNCTION("""COMPUTED_VALUE"""),2)</f>
        <v>2</v>
      </c>
      <c r="C42" s="37" t="str">
        <f ca="1">IFERROR(__xludf.DUMMYFUNCTION("""COMPUTED_VALUE"""),"IT and the world of work")</f>
        <v>IT and the world of work</v>
      </c>
      <c r="D42" s="36">
        <f ca="1">IFERROR(__xludf.DUMMYFUNCTION("""COMPUTED_VALUE"""),3)</f>
        <v>3</v>
      </c>
      <c r="E42" s="37" t="str">
        <f ca="1">IFERROR(__xludf.DUMMYFUNCTION("""COMPUTED_VALUE"""),"Evaluate effective online communication")</f>
        <v>Evaluate effective online communication</v>
      </c>
      <c r="F42" s="38" t="b">
        <f ca="1">IFERROR(__xludf.DUMMYFUNCTION("""COMPUTED_VALUE"""),TRUE)</f>
        <v>1</v>
      </c>
      <c r="G42" s="39"/>
      <c r="H42" s="54"/>
      <c r="I42" s="55"/>
      <c r="J42" s="56"/>
      <c r="K42" s="56"/>
      <c r="L42" s="56" t="b">
        <f ca="1">IFERROR(__xludf.DUMMYFUNCTION("""COMPUTED_VALUE"""),TRUE)</f>
        <v>1</v>
      </c>
      <c r="M42" s="56"/>
      <c r="N42" s="56" t="b">
        <f ca="1">IFERROR(__xludf.DUMMYFUNCTION("""COMPUTED_VALUE"""),TRUE)</f>
        <v>1</v>
      </c>
      <c r="O42" s="56" t="b">
        <f ca="1">IFERROR(__xludf.DUMMYFUNCTION("""COMPUTED_VALUE"""),TRUE)</f>
        <v>1</v>
      </c>
      <c r="P42" s="56"/>
      <c r="Q42" s="56"/>
      <c r="R42" s="54"/>
      <c r="S42" s="101"/>
      <c r="T42" s="41">
        <f ca="1">IFERROR(__xludf.DUMMYFUNCTION("ArrayFormula(mod(COUNTUNIQUE($C$3:C42),2))"),0)</f>
        <v>0</v>
      </c>
    </row>
    <row r="43" spans="1:20" ht="28">
      <c r="A43" s="24" t="str">
        <f ca="1">IFERROR(__xludf.DUMMYFUNCTION("""COMPUTED_VALUE"""),"Non-GCSE")</f>
        <v>Non-GCSE</v>
      </c>
      <c r="B43" s="24">
        <f ca="1">IFERROR(__xludf.DUMMYFUNCTION("""COMPUTED_VALUE"""),2)</f>
        <v>2</v>
      </c>
      <c r="C43" s="25" t="str">
        <f ca="1">IFERROR(__xludf.DUMMYFUNCTION("""COMPUTED_VALUE"""),"IT and the world of work")</f>
        <v>IT and the world of work</v>
      </c>
      <c r="D43" s="24">
        <f ca="1">IFERROR(__xludf.DUMMYFUNCTION("""COMPUTED_VALUE"""),3)</f>
        <v>3</v>
      </c>
      <c r="E43" s="25" t="str">
        <f ca="1">IFERROR(__xludf.DUMMYFUNCTION("""COMPUTED_VALUE"""),"Formulate a proposal that identifies essential skills for the modern workplace")</f>
        <v>Formulate a proposal that identifies essential skills for the modern workplace</v>
      </c>
      <c r="F43" s="26" t="b">
        <f ca="1">IFERROR(__xludf.DUMMYFUNCTION("""COMPUTED_VALUE"""),TRUE)</f>
        <v>1</v>
      </c>
      <c r="G43" s="27"/>
      <c r="H43" s="65"/>
      <c r="I43" s="66"/>
      <c r="J43" s="67"/>
      <c r="K43" s="67"/>
      <c r="L43" s="67" t="b">
        <f ca="1">IFERROR(__xludf.DUMMYFUNCTION("""COMPUTED_VALUE"""),TRUE)</f>
        <v>1</v>
      </c>
      <c r="M43" s="67"/>
      <c r="N43" s="67" t="b">
        <f ca="1">IFERROR(__xludf.DUMMYFUNCTION("""COMPUTED_VALUE"""),TRUE)</f>
        <v>1</v>
      </c>
      <c r="O43" s="67" t="b">
        <f ca="1">IFERROR(__xludf.DUMMYFUNCTION("""COMPUTED_VALUE"""),TRUE)</f>
        <v>1</v>
      </c>
      <c r="P43" s="67"/>
      <c r="Q43" s="67"/>
      <c r="R43" s="65"/>
      <c r="S43" s="99"/>
      <c r="T43" s="29">
        <f ca="1">IFERROR(__xludf.DUMMYFUNCTION("ArrayFormula(mod(COUNTUNIQUE($C$3:C43),2))"),0)</f>
        <v>0</v>
      </c>
    </row>
    <row r="44" spans="1:20" ht="28">
      <c r="A44" s="30" t="str">
        <f ca="1">IFERROR(__xludf.DUMMYFUNCTION("""COMPUTED_VALUE"""),"Non-GCSE")</f>
        <v>Non-GCSE</v>
      </c>
      <c r="B44" s="30">
        <f ca="1">IFERROR(__xludf.DUMMYFUNCTION("""COMPUTED_VALUE"""),2)</f>
        <v>2</v>
      </c>
      <c r="C44" s="31" t="str">
        <f ca="1">IFERROR(__xludf.DUMMYFUNCTION("""COMPUTED_VALUE"""),"IT and the world of work")</f>
        <v>IT and the world of work</v>
      </c>
      <c r="D44" s="30">
        <f ca="1">IFERROR(__xludf.DUMMYFUNCTION("""COMPUTED_VALUE"""),3)</f>
        <v>3</v>
      </c>
      <c r="E44" s="31" t="str">
        <f ca="1">IFERROR(__xludf.DUMMYFUNCTION("""COMPUTED_VALUE"""),"Recall collaboration and communication platforms")</f>
        <v>Recall collaboration and communication platforms</v>
      </c>
      <c r="F44" s="32" t="b">
        <f ca="1">IFERROR(__xludf.DUMMYFUNCTION("""COMPUTED_VALUE"""),TRUE)</f>
        <v>1</v>
      </c>
      <c r="G44" s="33"/>
      <c r="H44" s="53"/>
      <c r="I44" s="51"/>
      <c r="J44" s="52"/>
      <c r="K44" s="52"/>
      <c r="L44" s="52" t="b">
        <f ca="1">IFERROR(__xludf.DUMMYFUNCTION("""COMPUTED_VALUE"""),TRUE)</f>
        <v>1</v>
      </c>
      <c r="M44" s="52"/>
      <c r="N44" s="52" t="b">
        <f ca="1">IFERROR(__xludf.DUMMYFUNCTION("""COMPUTED_VALUE"""),TRUE)</f>
        <v>1</v>
      </c>
      <c r="O44" s="52" t="b">
        <f ca="1">IFERROR(__xludf.DUMMYFUNCTION("""COMPUTED_VALUE"""),TRUE)</f>
        <v>1</v>
      </c>
      <c r="P44" s="52"/>
      <c r="Q44" s="52"/>
      <c r="R44" s="53"/>
      <c r="S44" s="100"/>
      <c r="T44" s="35">
        <f ca="1">IFERROR(__xludf.DUMMYFUNCTION("ArrayFormula(mod(COUNTUNIQUE($C$3:C44),2))"),0)</f>
        <v>0</v>
      </c>
    </row>
    <row r="45" spans="1:20" ht="28">
      <c r="A45" s="30" t="str">
        <f ca="1">IFERROR(__xludf.DUMMYFUNCTION("""COMPUTED_VALUE"""),"Non-GCSE")</f>
        <v>Non-GCSE</v>
      </c>
      <c r="B45" s="30">
        <f ca="1">IFERROR(__xludf.DUMMYFUNCTION("""COMPUTED_VALUE"""),2)</f>
        <v>2</v>
      </c>
      <c r="C45" s="31" t="str">
        <f ca="1">IFERROR(__xludf.DUMMYFUNCTION("""COMPUTED_VALUE"""),"IT and the world of work")</f>
        <v>IT and the world of work</v>
      </c>
      <c r="D45" s="30">
        <f ca="1">IFERROR(__xludf.DUMMYFUNCTION("""COMPUTED_VALUE"""),4)</f>
        <v>4</v>
      </c>
      <c r="E45" s="31" t="str">
        <f ca="1">IFERROR(__xludf.DUMMYFUNCTION("""COMPUTED_VALUE"""),"Assess the functions and features of cloud computing")</f>
        <v>Assess the functions and features of cloud computing</v>
      </c>
      <c r="F45" s="32" t="b">
        <f ca="1">IFERROR(__xludf.DUMMYFUNCTION("""COMPUTED_VALUE"""),TRUE)</f>
        <v>1</v>
      </c>
      <c r="G45" s="33"/>
      <c r="H45" s="53"/>
      <c r="I45" s="51"/>
      <c r="J45" s="52"/>
      <c r="K45" s="52" t="b">
        <f ca="1">IFERROR(__xludf.DUMMYFUNCTION("""COMPUTED_VALUE"""),TRUE)</f>
        <v>1</v>
      </c>
      <c r="L45" s="52"/>
      <c r="M45" s="52"/>
      <c r="N45" s="52"/>
      <c r="O45" s="52"/>
      <c r="P45" s="52" t="b">
        <f ca="1">IFERROR(__xludf.DUMMYFUNCTION("""COMPUTED_VALUE"""),TRUE)</f>
        <v>1</v>
      </c>
      <c r="Q45" s="52"/>
      <c r="R45" s="53"/>
      <c r="S45" s="100"/>
      <c r="T45" s="35">
        <f ca="1">IFERROR(__xludf.DUMMYFUNCTION("ArrayFormula(mod(COUNTUNIQUE($C$3:C45),2))"),0)</f>
        <v>0</v>
      </c>
    </row>
    <row r="46" spans="1:20" ht="28">
      <c r="A46" s="36" t="str">
        <f ca="1">IFERROR(__xludf.DUMMYFUNCTION("""COMPUTED_VALUE"""),"Non-GCSE")</f>
        <v>Non-GCSE</v>
      </c>
      <c r="B46" s="36">
        <f ca="1">IFERROR(__xludf.DUMMYFUNCTION("""COMPUTED_VALUE"""),2)</f>
        <v>2</v>
      </c>
      <c r="C46" s="37" t="str">
        <f ca="1">IFERROR(__xludf.DUMMYFUNCTION("""COMPUTED_VALUE"""),"IT and the world of work")</f>
        <v>IT and the world of work</v>
      </c>
      <c r="D46" s="36">
        <f ca="1">IFERROR(__xludf.DUMMYFUNCTION("""COMPUTED_VALUE"""),4)</f>
        <v>4</v>
      </c>
      <c r="E46" s="37" t="str">
        <f ca="1">IFERROR(__xludf.DUMMYFUNCTION("""COMPUTED_VALUE"""),"Evaluate the security of using the cloud for storage and document/data creation")</f>
        <v>Evaluate the security of using the cloud for storage and document/data creation</v>
      </c>
      <c r="F46" s="38" t="b">
        <f ca="1">IFERROR(__xludf.DUMMYFUNCTION("""COMPUTED_VALUE"""),TRUE)</f>
        <v>1</v>
      </c>
      <c r="G46" s="39"/>
      <c r="H46" s="54"/>
      <c r="I46" s="55"/>
      <c r="J46" s="56"/>
      <c r="K46" s="56" t="b">
        <f ca="1">IFERROR(__xludf.DUMMYFUNCTION("""COMPUTED_VALUE"""),TRUE)</f>
        <v>1</v>
      </c>
      <c r="L46" s="56"/>
      <c r="M46" s="56"/>
      <c r="N46" s="56"/>
      <c r="O46" s="56"/>
      <c r="P46" s="56" t="b">
        <f ca="1">IFERROR(__xludf.DUMMYFUNCTION("""COMPUTED_VALUE"""),TRUE)</f>
        <v>1</v>
      </c>
      <c r="Q46" s="56"/>
      <c r="R46" s="54" t="b">
        <f ca="1">IFERROR(__xludf.DUMMYFUNCTION("""COMPUTED_VALUE"""),TRUE)</f>
        <v>1</v>
      </c>
      <c r="S46" s="101"/>
      <c r="T46" s="41">
        <f ca="1">IFERROR(__xludf.DUMMYFUNCTION("ArrayFormula(mod(COUNTUNIQUE($C$3:C46),2))"),0)</f>
        <v>0</v>
      </c>
    </row>
    <row r="47" spans="1:20" ht="28">
      <c r="A47" s="42" t="str">
        <f ca="1">IFERROR(__xludf.DUMMYFUNCTION("""COMPUTED_VALUE"""),"Non-GCSE")</f>
        <v>Non-GCSE</v>
      </c>
      <c r="B47" s="42">
        <f ca="1">IFERROR(__xludf.DUMMYFUNCTION("""COMPUTED_VALUE"""),2)</f>
        <v>2</v>
      </c>
      <c r="C47" s="43" t="str">
        <f ca="1">IFERROR(__xludf.DUMMYFUNCTION("""COMPUTED_VALUE"""),"IT and the world of work")</f>
        <v>IT and the world of work</v>
      </c>
      <c r="D47" s="42">
        <f ca="1">IFERROR(__xludf.DUMMYFUNCTION("""COMPUTED_VALUE"""),4)</f>
        <v>4</v>
      </c>
      <c r="E47" s="43" t="str">
        <f ca="1">IFERROR(__xludf.DUMMYFUNCTION("""COMPUTED_VALUE"""),"Justify the selection of communication platforms")</f>
        <v>Justify the selection of communication platforms</v>
      </c>
      <c r="F47" s="48" t="b">
        <f ca="1">IFERROR(__xludf.DUMMYFUNCTION("""COMPUTED_VALUE"""),TRUE)</f>
        <v>1</v>
      </c>
      <c r="G47" s="49"/>
      <c r="H47" s="50"/>
      <c r="I47" s="48"/>
      <c r="J47" s="49"/>
      <c r="K47" s="49"/>
      <c r="L47" s="49" t="b">
        <f ca="1">IFERROR(__xludf.DUMMYFUNCTION("""COMPUTED_VALUE"""),TRUE)</f>
        <v>1</v>
      </c>
      <c r="M47" s="49"/>
      <c r="N47" s="49" t="b">
        <f ca="1">IFERROR(__xludf.DUMMYFUNCTION("""COMPUTED_VALUE"""),TRUE)</f>
        <v>1</v>
      </c>
      <c r="O47" s="49" t="b">
        <f ca="1">IFERROR(__xludf.DUMMYFUNCTION("""COMPUTED_VALUE"""),TRUE)</f>
        <v>1</v>
      </c>
      <c r="P47" s="49"/>
      <c r="Q47" s="49"/>
      <c r="R47" s="50"/>
      <c r="S47" s="102"/>
      <c r="T47" s="47">
        <f ca="1">IFERROR(__xludf.DUMMYFUNCTION("ArrayFormula(mod(COUNTUNIQUE($C$3:C47),2))"),0)</f>
        <v>0</v>
      </c>
    </row>
    <row r="48" spans="1:20" ht="28">
      <c r="A48" s="30" t="str">
        <f ca="1">IFERROR(__xludf.DUMMYFUNCTION("""COMPUTED_VALUE"""),"Non-GCSE")</f>
        <v>Non-GCSE</v>
      </c>
      <c r="B48" s="30">
        <f ca="1">IFERROR(__xludf.DUMMYFUNCTION("""COMPUTED_VALUE"""),2)</f>
        <v>2</v>
      </c>
      <c r="C48" s="31" t="str">
        <f ca="1">IFERROR(__xludf.DUMMYFUNCTION("""COMPUTED_VALUE"""),"IT and the world of work")</f>
        <v>IT and the world of work</v>
      </c>
      <c r="D48" s="30">
        <f ca="1">IFERROR(__xludf.DUMMYFUNCTION("""COMPUTED_VALUE"""),5)</f>
        <v>5</v>
      </c>
      <c r="E48" s="31" t="str">
        <f ca="1">IFERROR(__xludf.DUMMYFUNCTION("""COMPUTED_VALUE"""),"Evaluate the advantages and disadvantages of ad hoc networks")</f>
        <v>Evaluate the advantages and disadvantages of ad hoc networks</v>
      </c>
      <c r="F48" s="51" t="b">
        <f ca="1">IFERROR(__xludf.DUMMYFUNCTION("""COMPUTED_VALUE"""),TRUE)</f>
        <v>1</v>
      </c>
      <c r="G48" s="52"/>
      <c r="H48" s="53"/>
      <c r="I48" s="51"/>
      <c r="J48" s="52"/>
      <c r="K48" s="52"/>
      <c r="L48" s="52"/>
      <c r="M48" s="52"/>
      <c r="N48" s="52"/>
      <c r="O48" s="52"/>
      <c r="P48" s="52" t="b">
        <f ca="1">IFERROR(__xludf.DUMMYFUNCTION("""COMPUTED_VALUE"""),TRUE)</f>
        <v>1</v>
      </c>
      <c r="Q48" s="52"/>
      <c r="R48" s="53"/>
      <c r="S48" s="100"/>
      <c r="T48" s="35">
        <f ca="1">IFERROR(__xludf.DUMMYFUNCTION("ArrayFormula(mod(COUNTUNIQUE($C$3:C48),2))"),0)</f>
        <v>0</v>
      </c>
    </row>
    <row r="49" spans="1:20" ht="28">
      <c r="A49" s="30" t="str">
        <f ca="1">IFERROR(__xludf.DUMMYFUNCTION("""COMPUTED_VALUE"""),"Non-GCSE")</f>
        <v>Non-GCSE</v>
      </c>
      <c r="B49" s="30">
        <f ca="1">IFERROR(__xludf.DUMMYFUNCTION("""COMPUTED_VALUE"""),2)</f>
        <v>2</v>
      </c>
      <c r="C49" s="31" t="str">
        <f ca="1">IFERROR(__xludf.DUMMYFUNCTION("""COMPUTED_VALUE"""),"IT and the world of work")</f>
        <v>IT and the world of work</v>
      </c>
      <c r="D49" s="30">
        <f ca="1">IFERROR(__xludf.DUMMYFUNCTION("""COMPUTED_VALUE"""),5)</f>
        <v>5</v>
      </c>
      <c r="E49" s="31" t="str">
        <f ca="1">IFERROR(__xludf.DUMMYFUNCTION("""COMPUTED_VALUE"""),"Judge the security of ad hoc networks")</f>
        <v>Judge the security of ad hoc networks</v>
      </c>
      <c r="F49" s="51" t="b">
        <f ca="1">IFERROR(__xludf.DUMMYFUNCTION("""COMPUTED_VALUE"""),TRUE)</f>
        <v>1</v>
      </c>
      <c r="G49" s="52"/>
      <c r="H49" s="53"/>
      <c r="I49" s="51"/>
      <c r="J49" s="52"/>
      <c r="K49" s="52"/>
      <c r="L49" s="52"/>
      <c r="M49" s="52"/>
      <c r="N49" s="52"/>
      <c r="O49" s="52"/>
      <c r="P49" s="52" t="b">
        <f ca="1">IFERROR(__xludf.DUMMYFUNCTION("""COMPUTED_VALUE"""),TRUE)</f>
        <v>1</v>
      </c>
      <c r="Q49" s="52"/>
      <c r="R49" s="53"/>
      <c r="S49" s="100"/>
      <c r="T49" s="35">
        <f ca="1">IFERROR(__xludf.DUMMYFUNCTION("ArrayFormula(mod(COUNTUNIQUE($C$3:C49),2))"),0)</f>
        <v>0</v>
      </c>
    </row>
    <row r="50" spans="1:20" ht="28">
      <c r="A50" s="30" t="str">
        <f ca="1">IFERROR(__xludf.DUMMYFUNCTION("""COMPUTED_VALUE"""),"Non-GCSE")</f>
        <v>Non-GCSE</v>
      </c>
      <c r="B50" s="30">
        <f ca="1">IFERROR(__xludf.DUMMYFUNCTION("""COMPUTED_VALUE"""),2)</f>
        <v>2</v>
      </c>
      <c r="C50" s="31" t="str">
        <f ca="1">IFERROR(__xludf.DUMMYFUNCTION("""COMPUTED_VALUE"""),"IT and the world of work")</f>
        <v>IT and the world of work</v>
      </c>
      <c r="D50" s="30">
        <f ca="1">IFERROR(__xludf.DUMMYFUNCTION("""COMPUTED_VALUE"""),5)</f>
        <v>5</v>
      </c>
      <c r="E50" s="31" t="str">
        <f ca="1">IFERROR(__xludf.DUMMYFUNCTION("""COMPUTED_VALUE"""),"Recognise methods of creating a network when mobile or remote working")</f>
        <v>Recognise methods of creating a network when mobile or remote working</v>
      </c>
      <c r="F50" s="51" t="b">
        <f ca="1">IFERROR(__xludf.DUMMYFUNCTION("""COMPUTED_VALUE"""),TRUE)</f>
        <v>1</v>
      </c>
      <c r="G50" s="52"/>
      <c r="H50" s="53"/>
      <c r="I50" s="51"/>
      <c r="J50" s="52"/>
      <c r="K50" s="52"/>
      <c r="L50" s="52"/>
      <c r="M50" s="52"/>
      <c r="N50" s="52"/>
      <c r="O50" s="52"/>
      <c r="P50" s="52" t="b">
        <f ca="1">IFERROR(__xludf.DUMMYFUNCTION("""COMPUTED_VALUE"""),TRUE)</f>
        <v>1</v>
      </c>
      <c r="Q50" s="52"/>
      <c r="R50" s="53"/>
      <c r="S50" s="100"/>
      <c r="T50" s="35">
        <f ca="1">IFERROR(__xludf.DUMMYFUNCTION("ArrayFormula(mod(COUNTUNIQUE($C$3:C50),2))"),0)</f>
        <v>0</v>
      </c>
    </row>
    <row r="51" spans="1:20" ht="28">
      <c r="A51" s="30" t="str">
        <f ca="1">IFERROR(__xludf.DUMMYFUNCTION("""COMPUTED_VALUE"""),"Non-GCSE")</f>
        <v>Non-GCSE</v>
      </c>
      <c r="B51" s="30">
        <f ca="1">IFERROR(__xludf.DUMMYFUNCTION("""COMPUTED_VALUE"""),2)</f>
        <v>2</v>
      </c>
      <c r="C51" s="31" t="str">
        <f ca="1">IFERROR(__xludf.DUMMYFUNCTION("""COMPUTED_VALUE"""),"IT and the world of work")</f>
        <v>IT and the world of work</v>
      </c>
      <c r="D51" s="30">
        <f ca="1">IFERROR(__xludf.DUMMYFUNCTION("""COMPUTED_VALUE"""),6)</f>
        <v>6</v>
      </c>
      <c r="E51" s="31" t="str">
        <f ca="1">IFERROR(__xludf.DUMMYFUNCTION("""COMPUTED_VALUE"""),"Create a positive working environment")</f>
        <v>Create a positive working environment</v>
      </c>
      <c r="F51" s="51" t="b">
        <f ca="1">IFERROR(__xludf.DUMMYFUNCTION("""COMPUTED_VALUE"""),TRUE)</f>
        <v>1</v>
      </c>
      <c r="G51" s="52"/>
      <c r="H51" s="53"/>
      <c r="I51" s="51"/>
      <c r="J51" s="52"/>
      <c r="K51" s="52"/>
      <c r="L51" s="52" t="b">
        <f ca="1">IFERROR(__xludf.DUMMYFUNCTION("""COMPUTED_VALUE"""),TRUE)</f>
        <v>1</v>
      </c>
      <c r="M51" s="52"/>
      <c r="N51" s="52" t="b">
        <f ca="1">IFERROR(__xludf.DUMMYFUNCTION("""COMPUTED_VALUE"""),TRUE)</f>
        <v>1</v>
      </c>
      <c r="O51" s="52" t="b">
        <f ca="1">IFERROR(__xludf.DUMMYFUNCTION("""COMPUTED_VALUE"""),TRUE)</f>
        <v>1</v>
      </c>
      <c r="P51" s="52"/>
      <c r="Q51" s="52"/>
      <c r="R51" s="53"/>
      <c r="S51" s="100"/>
      <c r="T51" s="35">
        <f ca="1">IFERROR(__xludf.DUMMYFUNCTION("ArrayFormula(mod(COUNTUNIQUE($C$3:C51),2))"),0)</f>
        <v>0</v>
      </c>
    </row>
    <row r="52" spans="1:20" ht="28">
      <c r="A52" s="30" t="str">
        <f ca="1">IFERROR(__xludf.DUMMYFUNCTION("""COMPUTED_VALUE"""),"Non-GCSE")</f>
        <v>Non-GCSE</v>
      </c>
      <c r="B52" s="30">
        <f ca="1">IFERROR(__xludf.DUMMYFUNCTION("""COMPUTED_VALUE"""),2)</f>
        <v>2</v>
      </c>
      <c r="C52" s="31" t="str">
        <f ca="1">IFERROR(__xludf.DUMMYFUNCTION("""COMPUTED_VALUE"""),"IT and the world of work")</f>
        <v>IT and the world of work</v>
      </c>
      <c r="D52" s="30">
        <f ca="1">IFERROR(__xludf.DUMMYFUNCTION("""COMPUTED_VALUE"""),6)</f>
        <v>6</v>
      </c>
      <c r="E52" s="31" t="str">
        <f ca="1">IFERROR(__xludf.DUMMYFUNCTION("""COMPUTED_VALUE"""),"Evaluate the impact of mental well-being on individuals")</f>
        <v>Evaluate the impact of mental well-being on individuals</v>
      </c>
      <c r="F52" s="51" t="b">
        <f ca="1">IFERROR(__xludf.DUMMYFUNCTION("""COMPUTED_VALUE"""),TRUE)</f>
        <v>1</v>
      </c>
      <c r="G52" s="52"/>
      <c r="H52" s="53"/>
      <c r="I52" s="51"/>
      <c r="J52" s="52"/>
      <c r="K52" s="52"/>
      <c r="L52" s="52" t="b">
        <f ca="1">IFERROR(__xludf.DUMMYFUNCTION("""COMPUTED_VALUE"""),TRUE)</f>
        <v>1</v>
      </c>
      <c r="M52" s="52"/>
      <c r="N52" s="52" t="b">
        <f ca="1">IFERROR(__xludf.DUMMYFUNCTION("""COMPUTED_VALUE"""),TRUE)</f>
        <v>1</v>
      </c>
      <c r="O52" s="52" t="b">
        <f ca="1">IFERROR(__xludf.DUMMYFUNCTION("""COMPUTED_VALUE"""),TRUE)</f>
        <v>1</v>
      </c>
      <c r="P52" s="52"/>
      <c r="Q52" s="52"/>
      <c r="R52" s="53"/>
      <c r="S52" s="100"/>
      <c r="T52" s="35">
        <f ca="1">IFERROR(__xludf.DUMMYFUNCTION("ArrayFormula(mod(COUNTUNIQUE($C$3:C52),2))"),0)</f>
        <v>0</v>
      </c>
    </row>
    <row r="53" spans="1:20" ht="28">
      <c r="A53" s="57" t="str">
        <f ca="1">IFERROR(__xludf.DUMMYFUNCTION("""COMPUTED_VALUE"""),"Non-GCSE")</f>
        <v>Non-GCSE</v>
      </c>
      <c r="B53" s="57">
        <f ca="1">IFERROR(__xludf.DUMMYFUNCTION("""COMPUTED_VALUE"""),2)</f>
        <v>2</v>
      </c>
      <c r="C53" s="58" t="str">
        <f ca="1">IFERROR(__xludf.DUMMYFUNCTION("""COMPUTED_VALUE"""),"IT and the world of work")</f>
        <v>IT and the world of work</v>
      </c>
      <c r="D53" s="57">
        <f ca="1">IFERROR(__xludf.DUMMYFUNCTION("""COMPUTED_VALUE"""),6)</f>
        <v>6</v>
      </c>
      <c r="E53" s="58" t="str">
        <f ca="1">IFERROR(__xludf.DUMMYFUNCTION("""COMPUTED_VALUE"""),"Evaluate the impact of physical well-being on individuals")</f>
        <v>Evaluate the impact of physical well-being on individuals</v>
      </c>
      <c r="F53" s="62" t="b">
        <f ca="1">IFERROR(__xludf.DUMMYFUNCTION("""COMPUTED_VALUE"""),TRUE)</f>
        <v>1</v>
      </c>
      <c r="G53" s="63"/>
      <c r="H53" s="61"/>
      <c r="I53" s="62"/>
      <c r="J53" s="63"/>
      <c r="K53" s="63"/>
      <c r="L53" s="63" t="b">
        <f ca="1">IFERROR(__xludf.DUMMYFUNCTION("""COMPUTED_VALUE"""),TRUE)</f>
        <v>1</v>
      </c>
      <c r="M53" s="63"/>
      <c r="N53" s="63" t="b">
        <f ca="1">IFERROR(__xludf.DUMMYFUNCTION("""COMPUTED_VALUE"""),TRUE)</f>
        <v>1</v>
      </c>
      <c r="O53" s="63" t="b">
        <f ca="1">IFERROR(__xludf.DUMMYFUNCTION("""COMPUTED_VALUE"""),TRUE)</f>
        <v>1</v>
      </c>
      <c r="P53" s="63"/>
      <c r="Q53" s="63"/>
      <c r="R53" s="61"/>
      <c r="S53" s="103"/>
      <c r="T53" s="64">
        <f ca="1">IFERROR(__xludf.DUMMYFUNCTION("ArrayFormula(mod(COUNTUNIQUE($C$3:C53),2))"),0)</f>
        <v>0</v>
      </c>
    </row>
    <row r="54" spans="1:20" ht="21">
      <c r="A54" s="24" t="str">
        <f ca="1">IFERROR(__xludf.DUMMYFUNCTION("""COMPUTED_VALUE"""),"Non-GCSE")</f>
        <v>Non-GCSE</v>
      </c>
      <c r="B54" s="24">
        <f ca="1">IFERROR(__xludf.DUMMYFUNCTION("""COMPUTED_VALUE"""),3)</f>
        <v>3</v>
      </c>
      <c r="C54" s="25" t="str">
        <f ca="1">IFERROR(__xludf.DUMMYFUNCTION("""COMPUTED_VALUE"""),"Media")</f>
        <v>Media</v>
      </c>
      <c r="D54" s="24">
        <f ca="1">IFERROR(__xludf.DUMMYFUNCTION("""COMPUTED_VALUE"""),1)</f>
        <v>1</v>
      </c>
      <c r="E54" s="25" t="str">
        <f ca="1">IFERROR(__xludf.DUMMYFUNCTION("""COMPUTED_VALUE"""),"Compare planning tools available for pre-production")</f>
        <v>Compare planning tools available for pre-production</v>
      </c>
      <c r="F54" s="66" t="b">
        <f ca="1">IFERROR(__xludf.DUMMYFUNCTION("""COMPUTED_VALUE"""),TRUE)</f>
        <v>1</v>
      </c>
      <c r="G54" s="67"/>
      <c r="H54" s="65"/>
      <c r="I54" s="66"/>
      <c r="J54" s="67"/>
      <c r="K54" s="67"/>
      <c r="L54" s="67" t="b">
        <f ca="1">IFERROR(__xludf.DUMMYFUNCTION("""COMPUTED_VALUE"""),TRUE)</f>
        <v>1</v>
      </c>
      <c r="M54" s="67"/>
      <c r="N54" s="67" t="b">
        <f ca="1">IFERROR(__xludf.DUMMYFUNCTION("""COMPUTED_VALUE"""),TRUE)</f>
        <v>1</v>
      </c>
      <c r="O54" s="67"/>
      <c r="P54" s="67"/>
      <c r="Q54" s="67"/>
      <c r="R54" s="65"/>
      <c r="S54" s="99"/>
      <c r="T54" s="29">
        <f ca="1">IFERROR(__xludf.DUMMYFUNCTION("ArrayFormula(mod(COUNTUNIQUE($C$3:C54),2))"),1)</f>
        <v>1</v>
      </c>
    </row>
    <row r="55" spans="1:20" ht="21">
      <c r="A55" s="30" t="str">
        <f ca="1">IFERROR(__xludf.DUMMYFUNCTION("""COMPUTED_VALUE"""),"Non-GCSE")</f>
        <v>Non-GCSE</v>
      </c>
      <c r="B55" s="30">
        <f ca="1">IFERROR(__xludf.DUMMYFUNCTION("""COMPUTED_VALUE"""),3)</f>
        <v>3</v>
      </c>
      <c r="C55" s="31" t="str">
        <f ca="1">IFERROR(__xludf.DUMMYFUNCTION("""COMPUTED_VALUE"""),"Media")</f>
        <v>Media</v>
      </c>
      <c r="D55" s="30">
        <f ca="1">IFERROR(__xludf.DUMMYFUNCTION("""COMPUTED_VALUE"""),1)</f>
        <v>1</v>
      </c>
      <c r="E55" s="31" t="str">
        <f ca="1">IFERROR(__xludf.DUMMYFUNCTION("""COMPUTED_VALUE"""),"Create pre-production planning materials")</f>
        <v>Create pre-production planning materials</v>
      </c>
      <c r="F55" s="51" t="b">
        <f ca="1">IFERROR(__xludf.DUMMYFUNCTION("""COMPUTED_VALUE"""),TRUE)</f>
        <v>1</v>
      </c>
      <c r="G55" s="52"/>
      <c r="H55" s="53"/>
      <c r="I55" s="51"/>
      <c r="J55" s="52"/>
      <c r="K55" s="52"/>
      <c r="L55" s="52" t="b">
        <f ca="1">IFERROR(__xludf.DUMMYFUNCTION("""COMPUTED_VALUE"""),TRUE)</f>
        <v>1</v>
      </c>
      <c r="M55" s="52"/>
      <c r="N55" s="52"/>
      <c r="O55" s="52"/>
      <c r="P55" s="52"/>
      <c r="Q55" s="52"/>
      <c r="R55" s="53"/>
      <c r="S55" s="100"/>
      <c r="T55" s="35">
        <f ca="1">IFERROR(__xludf.DUMMYFUNCTION("ArrayFormula(mod(COUNTUNIQUE($C$3:C55),2))"),1)</f>
        <v>1</v>
      </c>
    </row>
    <row r="56" spans="1:20" ht="21">
      <c r="A56" s="30" t="str">
        <f ca="1">IFERROR(__xludf.DUMMYFUNCTION("""COMPUTED_VALUE"""),"Non-GCSE")</f>
        <v>Non-GCSE</v>
      </c>
      <c r="B56" s="30">
        <f ca="1">IFERROR(__xludf.DUMMYFUNCTION("""COMPUTED_VALUE"""),3)</f>
        <v>3</v>
      </c>
      <c r="C56" s="31" t="str">
        <f ca="1">IFERROR(__xludf.DUMMYFUNCTION("""COMPUTED_VALUE"""),"Media")</f>
        <v>Media</v>
      </c>
      <c r="D56" s="30">
        <f ca="1">IFERROR(__xludf.DUMMYFUNCTION("""COMPUTED_VALUE"""),1)</f>
        <v>1</v>
      </c>
      <c r="E56" s="31" t="str">
        <f ca="1">IFERROR(__xludf.DUMMYFUNCTION("""COMPUTED_VALUE"""),"Describe the term ‘pre-production’")</f>
        <v>Describe the term ‘pre-production’</v>
      </c>
      <c r="F56" s="51" t="b">
        <f ca="1">IFERROR(__xludf.DUMMYFUNCTION("""COMPUTED_VALUE"""),TRUE)</f>
        <v>1</v>
      </c>
      <c r="G56" s="52"/>
      <c r="H56" s="53"/>
      <c r="I56" s="51"/>
      <c r="J56" s="52"/>
      <c r="K56" s="52"/>
      <c r="L56" s="52" t="b">
        <f ca="1">IFERROR(__xludf.DUMMYFUNCTION("""COMPUTED_VALUE"""),TRUE)</f>
        <v>1</v>
      </c>
      <c r="M56" s="52"/>
      <c r="N56" s="52"/>
      <c r="O56" s="52"/>
      <c r="P56" s="52"/>
      <c r="Q56" s="52"/>
      <c r="R56" s="53"/>
      <c r="S56" s="100"/>
      <c r="T56" s="35">
        <f ca="1">IFERROR(__xludf.DUMMYFUNCTION("ArrayFormula(mod(COUNTUNIQUE($C$3:C56),2))"),1)</f>
        <v>1</v>
      </c>
    </row>
    <row r="57" spans="1:20" ht="28">
      <c r="A57" s="30" t="str">
        <f ca="1">IFERROR(__xludf.DUMMYFUNCTION("""COMPUTED_VALUE"""),"Non-GCSE")</f>
        <v>Non-GCSE</v>
      </c>
      <c r="B57" s="30">
        <f ca="1">IFERROR(__xludf.DUMMYFUNCTION("""COMPUTED_VALUE"""),3)</f>
        <v>3</v>
      </c>
      <c r="C57" s="31" t="str">
        <f ca="1">IFERROR(__xludf.DUMMYFUNCTION("""COMPUTED_VALUE"""),"Media")</f>
        <v>Media</v>
      </c>
      <c r="D57" s="30">
        <f ca="1">IFERROR(__xludf.DUMMYFUNCTION("""COMPUTED_VALUE"""),2)</f>
        <v>2</v>
      </c>
      <c r="E57" s="31" t="str">
        <f ca="1">IFERROR(__xludf.DUMMYFUNCTION("""COMPUTED_VALUE"""),"Describe the two main types of digital graphics: raster and vector")</f>
        <v>Describe the two main types of digital graphics: raster and vector</v>
      </c>
      <c r="F57" s="51" t="b">
        <f ca="1">IFERROR(__xludf.DUMMYFUNCTION("""COMPUTED_VALUE"""),TRUE)</f>
        <v>1</v>
      </c>
      <c r="G57" s="52"/>
      <c r="H57" s="53"/>
      <c r="I57" s="51"/>
      <c r="J57" s="52" t="b">
        <f ca="1">IFERROR(__xludf.DUMMYFUNCTION("""COMPUTED_VALUE"""),TRUE)</f>
        <v>1</v>
      </c>
      <c r="K57" s="52"/>
      <c r="L57" s="52"/>
      <c r="M57" s="52" t="b">
        <f ca="1">IFERROR(__xludf.DUMMYFUNCTION("""COMPUTED_VALUE"""),TRUE)</f>
        <v>1</v>
      </c>
      <c r="N57" s="52"/>
      <c r="O57" s="52"/>
      <c r="P57" s="52"/>
      <c r="Q57" s="52"/>
      <c r="R57" s="53"/>
      <c r="S57" s="100"/>
      <c r="T57" s="35">
        <f ca="1">IFERROR(__xludf.DUMMYFUNCTION("ArrayFormula(mod(COUNTUNIQUE($C$3:C57),2))"),1)</f>
        <v>1</v>
      </c>
    </row>
    <row r="58" spans="1:20" ht="28">
      <c r="A58" s="30" t="str">
        <f ca="1">IFERROR(__xludf.DUMMYFUNCTION("""COMPUTED_VALUE"""),"Non-GCSE")</f>
        <v>Non-GCSE</v>
      </c>
      <c r="B58" s="30">
        <f ca="1">IFERROR(__xludf.DUMMYFUNCTION("""COMPUTED_VALUE"""),3)</f>
        <v>3</v>
      </c>
      <c r="C58" s="31" t="str">
        <f ca="1">IFERROR(__xludf.DUMMYFUNCTION("""COMPUTED_VALUE"""),"Media")</f>
        <v>Media</v>
      </c>
      <c r="D58" s="30">
        <f ca="1">IFERROR(__xludf.DUMMYFUNCTION("""COMPUTED_VALUE"""),2)</f>
        <v>2</v>
      </c>
      <c r="E58" s="31" t="str">
        <f ca="1">IFERROR(__xludf.DUMMYFUNCTION("""COMPUTED_VALUE"""),"Identify the resources required for creating digital graphics")</f>
        <v>Identify the resources required for creating digital graphics</v>
      </c>
      <c r="F58" s="51" t="b">
        <f ca="1">IFERROR(__xludf.DUMMYFUNCTION("""COMPUTED_VALUE"""),TRUE)</f>
        <v>1</v>
      </c>
      <c r="G58" s="52"/>
      <c r="H58" s="53"/>
      <c r="I58" s="51"/>
      <c r="J58" s="52" t="b">
        <f ca="1">IFERROR(__xludf.DUMMYFUNCTION("""COMPUTED_VALUE"""),TRUE)</f>
        <v>1</v>
      </c>
      <c r="K58" s="52"/>
      <c r="L58" s="52"/>
      <c r="M58" s="52"/>
      <c r="N58" s="52" t="b">
        <f ca="1">IFERROR(__xludf.DUMMYFUNCTION("""COMPUTED_VALUE"""),TRUE)</f>
        <v>1</v>
      </c>
      <c r="O58" s="52"/>
      <c r="P58" s="52"/>
      <c r="Q58" s="52"/>
      <c r="R58" s="53"/>
      <c r="S58" s="100"/>
      <c r="T58" s="35">
        <f ca="1">IFERROR(__xludf.DUMMYFUNCTION("ArrayFormula(mod(COUNTUNIQUE($C$3:C58),2))"),1)</f>
        <v>1</v>
      </c>
    </row>
    <row r="59" spans="1:20" ht="28">
      <c r="A59" s="30" t="str">
        <f ca="1">IFERROR(__xludf.DUMMYFUNCTION("""COMPUTED_VALUE"""),"Non-GCSE")</f>
        <v>Non-GCSE</v>
      </c>
      <c r="B59" s="30">
        <f ca="1">IFERROR(__xludf.DUMMYFUNCTION("""COMPUTED_VALUE"""),3)</f>
        <v>3</v>
      </c>
      <c r="C59" s="31" t="str">
        <f ca="1">IFERROR(__xludf.DUMMYFUNCTION("""COMPUTED_VALUE"""),"Media")</f>
        <v>Media</v>
      </c>
      <c r="D59" s="30">
        <f ca="1">IFERROR(__xludf.DUMMYFUNCTION("""COMPUTED_VALUE"""),2)</f>
        <v>2</v>
      </c>
      <c r="E59" s="31" t="str">
        <f ca="1">IFERROR(__xludf.DUMMYFUNCTION("""COMPUTED_VALUE"""),"Name associated file formats for types of digital graphics")</f>
        <v>Name associated file formats for types of digital graphics</v>
      </c>
      <c r="F59" s="51" t="b">
        <f ca="1">IFERROR(__xludf.DUMMYFUNCTION("""COMPUTED_VALUE"""),TRUE)</f>
        <v>1</v>
      </c>
      <c r="G59" s="52"/>
      <c r="H59" s="53"/>
      <c r="I59" s="51"/>
      <c r="J59" s="52" t="b">
        <f ca="1">IFERROR(__xludf.DUMMYFUNCTION("""COMPUTED_VALUE"""),TRUE)</f>
        <v>1</v>
      </c>
      <c r="K59" s="52"/>
      <c r="L59" s="52"/>
      <c r="M59" s="52"/>
      <c r="N59" s="52"/>
      <c r="O59" s="52"/>
      <c r="P59" s="52"/>
      <c r="Q59" s="52"/>
      <c r="R59" s="53"/>
      <c r="S59" s="100"/>
      <c r="T59" s="35">
        <f ca="1">IFERROR(__xludf.DUMMYFUNCTION("ArrayFormula(mod(COUNTUNIQUE($C$3:C59),2))"),1)</f>
        <v>1</v>
      </c>
    </row>
    <row r="60" spans="1:20" ht="28">
      <c r="A60" s="30" t="str">
        <f ca="1">IFERROR(__xludf.DUMMYFUNCTION("""COMPUTED_VALUE"""),"Non-GCSE")</f>
        <v>Non-GCSE</v>
      </c>
      <c r="B60" s="30">
        <f ca="1">IFERROR(__xludf.DUMMYFUNCTION("""COMPUTED_VALUE"""),3)</f>
        <v>3</v>
      </c>
      <c r="C60" s="31" t="str">
        <f ca="1">IFERROR(__xludf.DUMMYFUNCTION("""COMPUTED_VALUE"""),"Media")</f>
        <v>Media</v>
      </c>
      <c r="D60" s="30">
        <f ca="1">IFERROR(__xludf.DUMMYFUNCTION("""COMPUTED_VALUE"""),2)</f>
        <v>2</v>
      </c>
      <c r="E60" s="31" t="str">
        <f ca="1">IFERROR(__xludf.DUMMYFUNCTION("""COMPUTED_VALUE"""),"Recognise the legislation regarding use of digital graphics")</f>
        <v>Recognise the legislation regarding use of digital graphics</v>
      </c>
      <c r="F60" s="51" t="b">
        <f ca="1">IFERROR(__xludf.DUMMYFUNCTION("""COMPUTED_VALUE"""),TRUE)</f>
        <v>1</v>
      </c>
      <c r="G60" s="52"/>
      <c r="H60" s="53"/>
      <c r="I60" s="51"/>
      <c r="J60" s="52" t="b">
        <f ca="1">IFERROR(__xludf.DUMMYFUNCTION("""COMPUTED_VALUE"""),TRUE)</f>
        <v>1</v>
      </c>
      <c r="K60" s="52"/>
      <c r="L60" s="52"/>
      <c r="M60" s="52"/>
      <c r="N60" s="52"/>
      <c r="O60" s="52"/>
      <c r="P60" s="52"/>
      <c r="Q60" s="52"/>
      <c r="R60" s="53" t="b">
        <f ca="1">IFERROR(__xludf.DUMMYFUNCTION("""COMPUTED_VALUE"""),TRUE)</f>
        <v>1</v>
      </c>
      <c r="S60" s="100"/>
      <c r="T60" s="35">
        <f ca="1">IFERROR(__xludf.DUMMYFUNCTION("ArrayFormula(mod(COUNTUNIQUE($C$3:C60),2))"),1)</f>
        <v>1</v>
      </c>
    </row>
    <row r="61" spans="1:20" ht="28">
      <c r="A61" s="30" t="str">
        <f ca="1">IFERROR(__xludf.DUMMYFUNCTION("""COMPUTED_VALUE"""),"Non-GCSE")</f>
        <v>Non-GCSE</v>
      </c>
      <c r="B61" s="30">
        <f ca="1">IFERROR(__xludf.DUMMYFUNCTION("""COMPUTED_VALUE"""),3)</f>
        <v>3</v>
      </c>
      <c r="C61" s="31" t="str">
        <f ca="1">IFERROR(__xludf.DUMMYFUNCTION("""COMPUTED_VALUE"""),"Media")</f>
        <v>Media</v>
      </c>
      <c r="D61" s="30">
        <f ca="1">IFERROR(__xludf.DUMMYFUNCTION("""COMPUTED_VALUE"""),2)</f>
        <v>2</v>
      </c>
      <c r="E61" s="31" t="str">
        <f ca="1">IFERROR(__xludf.DUMMYFUNCTION("""COMPUTED_VALUE"""),"Utilise open source software to create both types of digital graphics")</f>
        <v>Utilise open source software to create both types of digital graphics</v>
      </c>
      <c r="F61" s="51" t="b">
        <f ca="1">IFERROR(__xludf.DUMMYFUNCTION("""COMPUTED_VALUE"""),TRUE)</f>
        <v>1</v>
      </c>
      <c r="G61" s="52"/>
      <c r="H61" s="53"/>
      <c r="I61" s="51"/>
      <c r="J61" s="52" t="b">
        <f ca="1">IFERROR(__xludf.DUMMYFUNCTION("""COMPUTED_VALUE"""),TRUE)</f>
        <v>1</v>
      </c>
      <c r="K61" s="52"/>
      <c r="L61" s="52"/>
      <c r="M61" s="52"/>
      <c r="N61" s="52" t="b">
        <f ca="1">IFERROR(__xludf.DUMMYFUNCTION("""COMPUTED_VALUE"""),TRUE)</f>
        <v>1</v>
      </c>
      <c r="O61" s="52"/>
      <c r="P61" s="52"/>
      <c r="Q61" s="52"/>
      <c r="R61" s="53"/>
      <c r="S61" s="100"/>
      <c r="T61" s="35">
        <f ca="1">IFERROR(__xludf.DUMMYFUNCTION("ArrayFormula(mod(COUNTUNIQUE($C$3:C61),2))"),1)</f>
        <v>1</v>
      </c>
    </row>
    <row r="62" spans="1:20" ht="28">
      <c r="A62" s="30" t="str">
        <f ca="1">IFERROR(__xludf.DUMMYFUNCTION("""COMPUTED_VALUE"""),"Non-GCSE")</f>
        <v>Non-GCSE</v>
      </c>
      <c r="B62" s="30">
        <f ca="1">IFERROR(__xludf.DUMMYFUNCTION("""COMPUTED_VALUE"""),3)</f>
        <v>3</v>
      </c>
      <c r="C62" s="31" t="str">
        <f ca="1">IFERROR(__xludf.DUMMYFUNCTION("""COMPUTED_VALUE"""),"Media")</f>
        <v>Media</v>
      </c>
      <c r="D62" s="30">
        <f ca="1">IFERROR(__xludf.DUMMYFUNCTION("""COMPUTED_VALUE"""),3)</f>
        <v>3</v>
      </c>
      <c r="E62" s="31" t="str">
        <f ca="1">IFERROR(__xludf.DUMMYFUNCTION("""COMPUTED_VALUE"""),"Name the different camera angles used in video production")</f>
        <v>Name the different camera angles used in video production</v>
      </c>
      <c r="F62" s="51" t="b">
        <f ca="1">IFERROR(__xludf.DUMMYFUNCTION("""COMPUTED_VALUE"""),TRUE)</f>
        <v>1</v>
      </c>
      <c r="G62" s="52"/>
      <c r="H62" s="53"/>
      <c r="I62" s="51"/>
      <c r="J62" s="52" t="b">
        <f ca="1">IFERROR(__xludf.DUMMYFUNCTION("""COMPUTED_VALUE"""),TRUE)</f>
        <v>1</v>
      </c>
      <c r="K62" s="52"/>
      <c r="L62" s="52"/>
      <c r="M62" s="52"/>
      <c r="N62" s="52"/>
      <c r="O62" s="52"/>
      <c r="P62" s="52"/>
      <c r="Q62" s="52"/>
      <c r="R62" s="53"/>
      <c r="S62" s="100"/>
      <c r="T62" s="35">
        <f ca="1">IFERROR(__xludf.DUMMYFUNCTION("ArrayFormula(mod(COUNTUNIQUE($C$3:C62),2))"),1)</f>
        <v>1</v>
      </c>
    </row>
    <row r="63" spans="1:20" ht="28">
      <c r="A63" s="36" t="str">
        <f ca="1">IFERROR(__xludf.DUMMYFUNCTION("""COMPUTED_VALUE"""),"Non-GCSE")</f>
        <v>Non-GCSE</v>
      </c>
      <c r="B63" s="36">
        <f ca="1">IFERROR(__xludf.DUMMYFUNCTION("""COMPUTED_VALUE"""),3)</f>
        <v>3</v>
      </c>
      <c r="C63" s="37" t="str">
        <f ca="1">IFERROR(__xludf.DUMMYFUNCTION("""COMPUTED_VALUE"""),"Media")</f>
        <v>Media</v>
      </c>
      <c r="D63" s="36">
        <f ca="1">IFERROR(__xludf.DUMMYFUNCTION("""COMPUTED_VALUE"""),3)</f>
        <v>3</v>
      </c>
      <c r="E63" s="37" t="str">
        <f ca="1">IFERROR(__xludf.DUMMYFUNCTION("""COMPUTED_VALUE"""),"Recognise different file formats and properties of digital video")</f>
        <v>Recognise different file formats and properties of digital video</v>
      </c>
      <c r="F63" s="55" t="b">
        <f ca="1">IFERROR(__xludf.DUMMYFUNCTION("""COMPUTED_VALUE"""),TRUE)</f>
        <v>1</v>
      </c>
      <c r="G63" s="56"/>
      <c r="H63" s="54"/>
      <c r="I63" s="55"/>
      <c r="J63" s="56" t="b">
        <f ca="1">IFERROR(__xludf.DUMMYFUNCTION("""COMPUTED_VALUE"""),TRUE)</f>
        <v>1</v>
      </c>
      <c r="K63" s="56"/>
      <c r="L63" s="56"/>
      <c r="M63" s="56"/>
      <c r="N63" s="56"/>
      <c r="O63" s="56"/>
      <c r="P63" s="56"/>
      <c r="Q63" s="56"/>
      <c r="R63" s="54"/>
      <c r="S63" s="101"/>
      <c r="T63" s="41">
        <f ca="1">IFERROR(__xludf.DUMMYFUNCTION("ArrayFormula(mod(COUNTUNIQUE($C$3:C63),2))"),1)</f>
        <v>1</v>
      </c>
    </row>
    <row r="64" spans="1:20" ht="21">
      <c r="A64" s="42" t="str">
        <f ca="1">IFERROR(__xludf.DUMMYFUNCTION("""COMPUTED_VALUE"""),"Non-GCSE")</f>
        <v>Non-GCSE</v>
      </c>
      <c r="B64" s="42">
        <f ca="1">IFERROR(__xludf.DUMMYFUNCTION("""COMPUTED_VALUE"""),3)</f>
        <v>3</v>
      </c>
      <c r="C64" s="43" t="str">
        <f ca="1">IFERROR(__xludf.DUMMYFUNCTION("""COMPUTED_VALUE"""),"Media")</f>
        <v>Media</v>
      </c>
      <c r="D64" s="42">
        <f ca="1">IFERROR(__xludf.DUMMYFUNCTION("""COMPUTED_VALUE"""),3)</f>
        <v>3</v>
      </c>
      <c r="E64" s="43" t="str">
        <f ca="1">IFERROR(__xludf.DUMMYFUNCTION("""COMPUTED_VALUE"""),"Utilise the software required for digital video creation")</f>
        <v>Utilise the software required for digital video creation</v>
      </c>
      <c r="F64" s="44" t="b">
        <f ca="1">IFERROR(__xludf.DUMMYFUNCTION("""COMPUTED_VALUE"""),TRUE)</f>
        <v>1</v>
      </c>
      <c r="G64" s="45"/>
      <c r="H64" s="46"/>
      <c r="I64" s="44"/>
      <c r="J64" s="45" t="b">
        <f ca="1">IFERROR(__xludf.DUMMYFUNCTION("""COMPUTED_VALUE"""),TRUE)</f>
        <v>1</v>
      </c>
      <c r="K64" s="45"/>
      <c r="L64" s="45"/>
      <c r="M64" s="45"/>
      <c r="N64" s="45" t="b">
        <f ca="1">IFERROR(__xludf.DUMMYFUNCTION("""COMPUTED_VALUE"""),TRUE)</f>
        <v>1</v>
      </c>
      <c r="O64" s="45"/>
      <c r="P64" s="45"/>
      <c r="Q64" s="45"/>
      <c r="R64" s="46"/>
      <c r="S64" s="102"/>
      <c r="T64" s="47">
        <f ca="1">IFERROR(__xludf.DUMMYFUNCTION("ArrayFormula(mod(COUNTUNIQUE($C$3:C64),2))"),1)</f>
        <v>1</v>
      </c>
    </row>
    <row r="65" spans="1:20" ht="21">
      <c r="A65" s="30" t="str">
        <f ca="1">IFERROR(__xludf.DUMMYFUNCTION("""COMPUTED_VALUE"""),"Non-GCSE")</f>
        <v>Non-GCSE</v>
      </c>
      <c r="B65" s="30">
        <f ca="1">IFERROR(__xludf.DUMMYFUNCTION("""COMPUTED_VALUE"""),3)</f>
        <v>3</v>
      </c>
      <c r="C65" s="31" t="str">
        <f ca="1">IFERROR(__xludf.DUMMYFUNCTION("""COMPUTED_VALUE"""),"Media")</f>
        <v>Media</v>
      </c>
      <c r="D65" s="30">
        <f ca="1">IFERROR(__xludf.DUMMYFUNCTION("""COMPUTED_VALUE"""),4)</f>
        <v>4</v>
      </c>
      <c r="E65" s="31" t="str">
        <f ca="1">IFERROR(__xludf.DUMMYFUNCTION("""COMPUTED_VALUE"""),"Create a multi-page website using open source tools")</f>
        <v>Create a multi-page website using open source tools</v>
      </c>
      <c r="F65" s="32" t="b">
        <f ca="1">IFERROR(__xludf.DUMMYFUNCTION("""COMPUTED_VALUE"""),TRUE)</f>
        <v>1</v>
      </c>
      <c r="G65" s="33"/>
      <c r="H65" s="34"/>
      <c r="I65" s="32"/>
      <c r="J65" s="33" t="b">
        <f ca="1">IFERROR(__xludf.DUMMYFUNCTION("""COMPUTED_VALUE"""),TRUE)</f>
        <v>1</v>
      </c>
      <c r="K65" s="33"/>
      <c r="L65" s="33" t="b">
        <f ca="1">IFERROR(__xludf.DUMMYFUNCTION("""COMPUTED_VALUE"""),TRUE)</f>
        <v>1</v>
      </c>
      <c r="M65" s="33"/>
      <c r="N65" s="33" t="b">
        <f ca="1">IFERROR(__xludf.DUMMYFUNCTION("""COMPUTED_VALUE"""),TRUE)</f>
        <v>1</v>
      </c>
      <c r="O65" s="33"/>
      <c r="P65" s="33" t="b">
        <f ca="1">IFERROR(__xludf.DUMMYFUNCTION("""COMPUTED_VALUE"""),TRUE)</f>
        <v>1</v>
      </c>
      <c r="Q65" s="33"/>
      <c r="R65" s="34"/>
      <c r="S65" s="100"/>
      <c r="T65" s="35">
        <f ca="1">IFERROR(__xludf.DUMMYFUNCTION("ArrayFormula(mod(COUNTUNIQUE($C$3:C65),2))"),1)</f>
        <v>1</v>
      </c>
    </row>
    <row r="66" spans="1:20" ht="21">
      <c r="A66" s="30" t="str">
        <f ca="1">IFERROR(__xludf.DUMMYFUNCTION("""COMPUTED_VALUE"""),"Non-GCSE")</f>
        <v>Non-GCSE</v>
      </c>
      <c r="B66" s="30">
        <f ca="1">IFERROR(__xludf.DUMMYFUNCTION("""COMPUTED_VALUE"""),3)</f>
        <v>3</v>
      </c>
      <c r="C66" s="31" t="str">
        <f ca="1">IFERROR(__xludf.DUMMYFUNCTION("""COMPUTED_VALUE"""),"Media")</f>
        <v>Media</v>
      </c>
      <c r="D66" s="30">
        <f ca="1">IFERROR(__xludf.DUMMYFUNCTION("""COMPUTED_VALUE"""),4)</f>
        <v>4</v>
      </c>
      <c r="E66" s="31" t="str">
        <f ca="1">IFERROR(__xludf.DUMMYFUNCTION("""COMPUTED_VALUE"""),"Discuss the features and properties of websites")</f>
        <v>Discuss the features and properties of websites</v>
      </c>
      <c r="F66" s="32" t="b">
        <f ca="1">IFERROR(__xludf.DUMMYFUNCTION("""COMPUTED_VALUE"""),TRUE)</f>
        <v>1</v>
      </c>
      <c r="G66" s="33"/>
      <c r="H66" s="34"/>
      <c r="I66" s="32"/>
      <c r="J66" s="33" t="b">
        <f ca="1">IFERROR(__xludf.DUMMYFUNCTION("""COMPUTED_VALUE"""),TRUE)</f>
        <v>1</v>
      </c>
      <c r="K66" s="33"/>
      <c r="L66" s="33"/>
      <c r="M66" s="33"/>
      <c r="N66" s="33"/>
      <c r="O66" s="33"/>
      <c r="P66" s="33" t="b">
        <f ca="1">IFERROR(__xludf.DUMMYFUNCTION("""COMPUTED_VALUE"""),TRUE)</f>
        <v>1</v>
      </c>
      <c r="Q66" s="33"/>
      <c r="R66" s="34"/>
      <c r="S66" s="100"/>
      <c r="T66" s="35">
        <f ca="1">IFERROR(__xludf.DUMMYFUNCTION("ArrayFormula(mod(COUNTUNIQUE($C$3:C66),2))"),1)</f>
        <v>1</v>
      </c>
    </row>
    <row r="67" spans="1:20" ht="21">
      <c r="A67" s="30" t="str">
        <f ca="1">IFERROR(__xludf.DUMMYFUNCTION("""COMPUTED_VALUE"""),"Non-GCSE")</f>
        <v>Non-GCSE</v>
      </c>
      <c r="B67" s="30">
        <f ca="1">IFERROR(__xludf.DUMMYFUNCTION("""COMPUTED_VALUE"""),3)</f>
        <v>3</v>
      </c>
      <c r="C67" s="31" t="str">
        <f ca="1">IFERROR(__xludf.DUMMYFUNCTION("""COMPUTED_VALUE"""),"Media")</f>
        <v>Media</v>
      </c>
      <c r="D67" s="30">
        <f ca="1">IFERROR(__xludf.DUMMYFUNCTION("""COMPUTED_VALUE"""),4)</f>
        <v>4</v>
      </c>
      <c r="E67" s="31" t="str">
        <f ca="1">IFERROR(__xludf.DUMMYFUNCTION("""COMPUTED_VALUE"""),"Plan a multi-page website")</f>
        <v>Plan a multi-page website</v>
      </c>
      <c r="F67" s="32" t="b">
        <f ca="1">IFERROR(__xludf.DUMMYFUNCTION("""COMPUTED_VALUE"""),TRUE)</f>
        <v>1</v>
      </c>
      <c r="G67" s="33"/>
      <c r="H67" s="34"/>
      <c r="I67" s="32"/>
      <c r="J67" s="33" t="b">
        <f ca="1">IFERROR(__xludf.DUMMYFUNCTION("""COMPUTED_VALUE"""),TRUE)</f>
        <v>1</v>
      </c>
      <c r="K67" s="33"/>
      <c r="L67" s="33" t="b">
        <f ca="1">IFERROR(__xludf.DUMMYFUNCTION("""COMPUTED_VALUE"""),TRUE)</f>
        <v>1</v>
      </c>
      <c r="M67" s="33"/>
      <c r="N67" s="33"/>
      <c r="O67" s="33"/>
      <c r="P67" s="33" t="b">
        <f ca="1">IFERROR(__xludf.DUMMYFUNCTION("""COMPUTED_VALUE"""),TRUE)</f>
        <v>1</v>
      </c>
      <c r="Q67" s="33"/>
      <c r="R67" s="34"/>
      <c r="S67" s="100"/>
      <c r="T67" s="35">
        <f ca="1">IFERROR(__xludf.DUMMYFUNCTION("ArrayFormula(mod(COUNTUNIQUE($C$3:C67),2))"),1)</f>
        <v>1</v>
      </c>
    </row>
    <row r="68" spans="1:20" ht="28">
      <c r="A68" s="30" t="str">
        <f ca="1">IFERROR(__xludf.DUMMYFUNCTION("""COMPUTED_VALUE"""),"Non-GCSE")</f>
        <v>Non-GCSE</v>
      </c>
      <c r="B68" s="30">
        <f ca="1">IFERROR(__xludf.DUMMYFUNCTION("""COMPUTED_VALUE"""),3)</f>
        <v>3</v>
      </c>
      <c r="C68" s="31" t="str">
        <f ca="1">IFERROR(__xludf.DUMMYFUNCTION("""COMPUTED_VALUE"""),"Media")</f>
        <v>Media</v>
      </c>
      <c r="D68" s="30">
        <f ca="1">IFERROR(__xludf.DUMMYFUNCTION("""COMPUTED_VALUE"""),5)</f>
        <v>5</v>
      </c>
      <c r="E68" s="31" t="str">
        <f ca="1">IFERROR(__xludf.DUMMYFUNCTION("""COMPUTED_VALUE"""),"Plan a digital media artefact from a selected client brief")</f>
        <v>Plan a digital media artefact from a selected client brief</v>
      </c>
      <c r="F68" s="32" t="b">
        <f ca="1">IFERROR(__xludf.DUMMYFUNCTION("""COMPUTED_VALUE"""),TRUE)</f>
        <v>1</v>
      </c>
      <c r="G68" s="33"/>
      <c r="H68" s="34"/>
      <c r="I68" s="32"/>
      <c r="J68" s="33" t="b">
        <f ca="1">IFERROR(__xludf.DUMMYFUNCTION("""COMPUTED_VALUE"""),TRUE)</f>
        <v>1</v>
      </c>
      <c r="K68" s="33"/>
      <c r="L68" s="33" t="b">
        <f ca="1">IFERROR(__xludf.DUMMYFUNCTION("""COMPUTED_VALUE"""),TRUE)</f>
        <v>1</v>
      </c>
      <c r="M68" s="33"/>
      <c r="N68" s="33" t="b">
        <f ca="1">IFERROR(__xludf.DUMMYFUNCTION("""COMPUTED_VALUE"""),TRUE)</f>
        <v>1</v>
      </c>
      <c r="O68" s="33"/>
      <c r="P68" s="33"/>
      <c r="Q68" s="33"/>
      <c r="R68" s="34"/>
      <c r="S68" s="100"/>
      <c r="T68" s="35">
        <f ca="1">IFERROR(__xludf.DUMMYFUNCTION("ArrayFormula(mod(COUNTUNIQUE($C$3:C68),2))"),1)</f>
        <v>1</v>
      </c>
    </row>
    <row r="69" spans="1:20" ht="21">
      <c r="A69" s="30" t="str">
        <f ca="1">IFERROR(__xludf.DUMMYFUNCTION("""COMPUTED_VALUE"""),"Non-GCSE")</f>
        <v>Non-GCSE</v>
      </c>
      <c r="B69" s="30">
        <f ca="1">IFERROR(__xludf.DUMMYFUNCTION("""COMPUTED_VALUE"""),3)</f>
        <v>3</v>
      </c>
      <c r="C69" s="31" t="str">
        <f ca="1">IFERROR(__xludf.DUMMYFUNCTION("""COMPUTED_VALUE"""),"Media")</f>
        <v>Media</v>
      </c>
      <c r="D69" s="30">
        <f ca="1">IFERROR(__xludf.DUMMYFUNCTION("""COMPUTED_VALUE"""),6)</f>
        <v>6</v>
      </c>
      <c r="E69" s="31" t="str">
        <f ca="1">IFERROR(__xludf.DUMMYFUNCTION("""COMPUTED_VALUE"""),"Create media artefacts")</f>
        <v>Create media artefacts</v>
      </c>
      <c r="F69" s="32" t="b">
        <f ca="1">IFERROR(__xludf.DUMMYFUNCTION("""COMPUTED_VALUE"""),TRUE)</f>
        <v>1</v>
      </c>
      <c r="G69" s="33"/>
      <c r="H69" s="34"/>
      <c r="I69" s="32"/>
      <c r="J69" s="33" t="b">
        <f ca="1">IFERROR(__xludf.DUMMYFUNCTION("""COMPUTED_VALUE"""),TRUE)</f>
        <v>1</v>
      </c>
      <c r="K69" s="33"/>
      <c r="L69" s="33" t="b">
        <f ca="1">IFERROR(__xludf.DUMMYFUNCTION("""COMPUTED_VALUE"""),TRUE)</f>
        <v>1</v>
      </c>
      <c r="M69" s="33"/>
      <c r="N69" s="33" t="b">
        <f ca="1">IFERROR(__xludf.DUMMYFUNCTION("""COMPUTED_VALUE"""),TRUE)</f>
        <v>1</v>
      </c>
      <c r="O69" s="33"/>
      <c r="P69" s="33"/>
      <c r="Q69" s="33"/>
      <c r="R69" s="34"/>
      <c r="S69" s="100"/>
      <c r="T69" s="35">
        <f ca="1">IFERROR(__xludf.DUMMYFUNCTION("ArrayFormula(mod(COUNTUNIQUE($C$3:C69),2))"),1)</f>
        <v>1</v>
      </c>
    </row>
    <row r="70" spans="1:20" ht="21">
      <c r="A70" s="57" t="str">
        <f ca="1">IFERROR(__xludf.DUMMYFUNCTION("""COMPUTED_VALUE"""),"Non-GCSE")</f>
        <v>Non-GCSE</v>
      </c>
      <c r="B70" s="57">
        <f ca="1">IFERROR(__xludf.DUMMYFUNCTION("""COMPUTED_VALUE"""),3)</f>
        <v>3</v>
      </c>
      <c r="C70" s="58" t="str">
        <f ca="1">IFERROR(__xludf.DUMMYFUNCTION("""COMPUTED_VALUE"""),"Media")</f>
        <v>Media</v>
      </c>
      <c r="D70" s="57">
        <f ca="1">IFERROR(__xludf.DUMMYFUNCTION("""COMPUTED_VALUE"""),7)</f>
        <v>7</v>
      </c>
      <c r="E70" s="58" t="str">
        <f ca="1">IFERROR(__xludf.DUMMYFUNCTION("""COMPUTED_VALUE"""),"Evaluate design decisions for media artefacts")</f>
        <v>Evaluate design decisions for media artefacts</v>
      </c>
      <c r="F70" s="59" t="b">
        <f ca="1">IFERROR(__xludf.DUMMYFUNCTION("""COMPUTED_VALUE"""),TRUE)</f>
        <v>1</v>
      </c>
      <c r="G70" s="60"/>
      <c r="H70" s="68"/>
      <c r="I70" s="59"/>
      <c r="J70" s="60" t="b">
        <f ca="1">IFERROR(__xludf.DUMMYFUNCTION("""COMPUTED_VALUE"""),TRUE)</f>
        <v>1</v>
      </c>
      <c r="K70" s="60"/>
      <c r="L70" s="60" t="b">
        <f ca="1">IFERROR(__xludf.DUMMYFUNCTION("""COMPUTED_VALUE"""),TRUE)</f>
        <v>1</v>
      </c>
      <c r="M70" s="60"/>
      <c r="N70" s="60" t="b">
        <f ca="1">IFERROR(__xludf.DUMMYFUNCTION("""COMPUTED_VALUE"""),TRUE)</f>
        <v>1</v>
      </c>
      <c r="O70" s="60"/>
      <c r="P70" s="60"/>
      <c r="Q70" s="60"/>
      <c r="R70" s="68"/>
      <c r="S70" s="103"/>
      <c r="T70" s="64">
        <f ca="1">IFERROR(__xludf.DUMMYFUNCTION("ArrayFormula(mod(COUNTUNIQUE($C$3:C70),2))"),1)</f>
        <v>1</v>
      </c>
    </row>
    <row r="71" spans="1:20" ht="28">
      <c r="A71" s="24" t="str">
        <f ca="1">IFERROR(__xludf.DUMMYFUNCTION("""COMPUTED_VALUE"""),"Non-GCSE")</f>
        <v>Non-GCSE</v>
      </c>
      <c r="B71" s="24">
        <f ca="1">IFERROR(__xludf.DUMMYFUNCTION("""COMPUTED_VALUE"""),4)</f>
        <v>4</v>
      </c>
      <c r="C71" s="25" t="str">
        <f ca="1">IFERROR(__xludf.DUMMYFUNCTION("""COMPUTED_VALUE"""),"Physical computing - Build a robot buggy")</f>
        <v>Physical computing - Build a robot buggy</v>
      </c>
      <c r="D71" s="24">
        <f ca="1">IFERROR(__xludf.DUMMYFUNCTION("""COMPUTED_VALUE"""),1)</f>
        <v>1</v>
      </c>
      <c r="E71" s="25" t="str">
        <f ca="1">IFERROR(__xludf.DUMMYFUNCTION("""COMPUTED_VALUE"""),"Create and test a working circuit")</f>
        <v>Create and test a working circuit</v>
      </c>
      <c r="F71" s="26" t="b">
        <f ca="1">IFERROR(__xludf.DUMMYFUNCTION("""COMPUTED_VALUE"""),TRUE)</f>
        <v>1</v>
      </c>
      <c r="G71" s="27" t="b">
        <f ca="1">IFERROR(__xludf.DUMMYFUNCTION("""COMPUTED_VALUE"""),TRUE)</f>
        <v>1</v>
      </c>
      <c r="H71" s="28"/>
      <c r="I71" s="26"/>
      <c r="J71" s="27"/>
      <c r="K71" s="27"/>
      <c r="L71" s="27" t="b">
        <f ca="1">IFERROR(__xludf.DUMMYFUNCTION("""COMPUTED_VALUE"""),TRUE)</f>
        <v>1</v>
      </c>
      <c r="M71" s="27"/>
      <c r="N71" s="27"/>
      <c r="O71" s="27"/>
      <c r="P71" s="27"/>
      <c r="Q71" s="27"/>
      <c r="R71" s="28"/>
      <c r="S71" s="99"/>
      <c r="T71" s="29">
        <f ca="1">IFERROR(__xludf.DUMMYFUNCTION("ArrayFormula(mod(COUNTUNIQUE($C$3:C71),2))"),0)</f>
        <v>0</v>
      </c>
    </row>
    <row r="72" spans="1:20" ht="28">
      <c r="A72" s="30" t="str">
        <f ca="1">IFERROR(__xludf.DUMMYFUNCTION("""COMPUTED_VALUE"""),"Non-GCSE")</f>
        <v>Non-GCSE</v>
      </c>
      <c r="B72" s="30">
        <f ca="1">IFERROR(__xludf.DUMMYFUNCTION("""COMPUTED_VALUE"""),4)</f>
        <v>4</v>
      </c>
      <c r="C72" s="31" t="str">
        <f ca="1">IFERROR(__xludf.DUMMYFUNCTION("""COMPUTED_VALUE"""),"Physical computing - Build a robot buggy")</f>
        <v>Physical computing - Build a robot buggy</v>
      </c>
      <c r="D72" s="30">
        <f ca="1">IFERROR(__xludf.DUMMYFUNCTION("""COMPUTED_VALUE"""),1)</f>
        <v>1</v>
      </c>
      <c r="E72" s="31" t="str">
        <f ca="1">IFERROR(__xludf.DUMMYFUNCTION("""COMPUTED_VALUE"""),"Define the term physical computing")</f>
        <v>Define the term physical computing</v>
      </c>
      <c r="F72" s="32" t="b">
        <f ca="1">IFERROR(__xludf.DUMMYFUNCTION("""COMPUTED_VALUE"""),TRUE)</f>
        <v>1</v>
      </c>
      <c r="G72" s="33" t="b">
        <f ca="1">IFERROR(__xludf.DUMMYFUNCTION("""COMPUTED_VALUE"""),TRUE)</f>
        <v>1</v>
      </c>
      <c r="H72" s="34"/>
      <c r="I72" s="32"/>
      <c r="J72" s="33"/>
      <c r="K72" s="33" t="b">
        <f ca="1">IFERROR(__xludf.DUMMYFUNCTION("""COMPUTED_VALUE"""),TRUE)</f>
        <v>1</v>
      </c>
      <c r="L72" s="33"/>
      <c r="M72" s="33"/>
      <c r="N72" s="33"/>
      <c r="O72" s="33"/>
      <c r="P72" s="33"/>
      <c r="Q72" s="33"/>
      <c r="R72" s="34"/>
      <c r="S72" s="100"/>
      <c r="T72" s="35">
        <f ca="1">IFERROR(__xludf.DUMMYFUNCTION("ArrayFormula(mod(COUNTUNIQUE($C$3:C72),2))"),0)</f>
        <v>0</v>
      </c>
    </row>
    <row r="73" spans="1:20" ht="28">
      <c r="A73" s="30" t="str">
        <f ca="1">IFERROR(__xludf.DUMMYFUNCTION("""COMPUTED_VALUE"""),"Non-GCSE")</f>
        <v>Non-GCSE</v>
      </c>
      <c r="B73" s="30">
        <f ca="1">IFERROR(__xludf.DUMMYFUNCTION("""COMPUTED_VALUE"""),4)</f>
        <v>4</v>
      </c>
      <c r="C73" s="31" t="str">
        <f ca="1">IFERROR(__xludf.DUMMYFUNCTION("""COMPUTED_VALUE"""),"Physical computing - Build a robot buggy")</f>
        <v>Physical computing - Build a robot buggy</v>
      </c>
      <c r="D73" s="30">
        <f ca="1">IFERROR(__xludf.DUMMYFUNCTION("""COMPUTED_VALUE"""),1)</f>
        <v>1</v>
      </c>
      <c r="E73" s="31" t="str">
        <f ca="1">IFERROR(__xludf.DUMMYFUNCTION("""COMPUTED_VALUE"""),"Explain the term embedded systems")</f>
        <v>Explain the term embedded systems</v>
      </c>
      <c r="F73" s="32" t="b">
        <f ca="1">IFERROR(__xludf.DUMMYFUNCTION("""COMPUTED_VALUE"""),TRUE)</f>
        <v>1</v>
      </c>
      <c r="G73" s="33" t="b">
        <f ca="1">IFERROR(__xludf.DUMMYFUNCTION("""COMPUTED_VALUE"""),TRUE)</f>
        <v>1</v>
      </c>
      <c r="H73" s="34"/>
      <c r="I73" s="32"/>
      <c r="J73" s="33"/>
      <c r="K73" s="33" t="b">
        <f ca="1">IFERROR(__xludf.DUMMYFUNCTION("""COMPUTED_VALUE"""),TRUE)</f>
        <v>1</v>
      </c>
      <c r="L73" s="33"/>
      <c r="M73" s="33"/>
      <c r="N73" s="33"/>
      <c r="O73" s="33"/>
      <c r="P73" s="33"/>
      <c r="Q73" s="33"/>
      <c r="R73" s="34"/>
      <c r="S73" s="100"/>
      <c r="T73" s="35">
        <f ca="1">IFERROR(__xludf.DUMMYFUNCTION("ArrayFormula(mod(COUNTUNIQUE($C$3:C73),2))"),0)</f>
        <v>0</v>
      </c>
    </row>
    <row r="74" spans="1:20" ht="28">
      <c r="A74" s="30" t="str">
        <f ca="1">IFERROR(__xludf.DUMMYFUNCTION("""COMPUTED_VALUE"""),"Non-GCSE")</f>
        <v>Non-GCSE</v>
      </c>
      <c r="B74" s="30">
        <f ca="1">IFERROR(__xludf.DUMMYFUNCTION("""COMPUTED_VALUE"""),4)</f>
        <v>4</v>
      </c>
      <c r="C74" s="31" t="str">
        <f ca="1">IFERROR(__xludf.DUMMYFUNCTION("""COMPUTED_VALUE"""),"Physical computing - Build a robot buggy")</f>
        <v>Physical computing - Build a robot buggy</v>
      </c>
      <c r="D74" s="30">
        <f ca="1">IFERROR(__xludf.DUMMYFUNCTION("""COMPUTED_VALUE"""),2)</f>
        <v>2</v>
      </c>
      <c r="E74" s="31" t="str">
        <f ca="1">IFERROR(__xludf.DUMMYFUNCTION("""COMPUTED_VALUE"""),"Explore how to add functionality using a motor controller")</f>
        <v>Explore how to add functionality using a motor controller</v>
      </c>
      <c r="F74" s="32" t="b">
        <f ca="1">IFERROR(__xludf.DUMMYFUNCTION("""COMPUTED_VALUE"""),TRUE)</f>
        <v>1</v>
      </c>
      <c r="G74" s="33" t="b">
        <f ca="1">IFERROR(__xludf.DUMMYFUNCTION("""COMPUTED_VALUE"""),TRUE)</f>
        <v>1</v>
      </c>
      <c r="H74" s="34"/>
      <c r="I74" s="32"/>
      <c r="J74" s="33"/>
      <c r="K74" s="33" t="b">
        <f ca="1">IFERROR(__xludf.DUMMYFUNCTION("""COMPUTED_VALUE"""),TRUE)</f>
        <v>1</v>
      </c>
      <c r="L74" s="33" t="b">
        <f ca="1">IFERROR(__xludf.DUMMYFUNCTION("""COMPUTED_VALUE"""),TRUE)</f>
        <v>1</v>
      </c>
      <c r="M74" s="33"/>
      <c r="N74" s="33"/>
      <c r="O74" s="33"/>
      <c r="P74" s="33"/>
      <c r="Q74" s="33" t="b">
        <f ca="1">IFERROR(__xludf.DUMMYFUNCTION("""COMPUTED_VALUE"""),TRUE)</f>
        <v>1</v>
      </c>
      <c r="R74" s="34"/>
      <c r="S74" s="100"/>
      <c r="T74" s="35">
        <f ca="1">IFERROR(__xludf.DUMMYFUNCTION("ArrayFormula(mod(COUNTUNIQUE($C$3:C74),2))"),0)</f>
        <v>0</v>
      </c>
    </row>
    <row r="75" spans="1:20" ht="28">
      <c r="A75" s="30" t="str">
        <f ca="1">IFERROR(__xludf.DUMMYFUNCTION("""COMPUTED_VALUE"""),"Non-GCSE")</f>
        <v>Non-GCSE</v>
      </c>
      <c r="B75" s="30">
        <f ca="1">IFERROR(__xludf.DUMMYFUNCTION("""COMPUTED_VALUE"""),4)</f>
        <v>4</v>
      </c>
      <c r="C75" s="31" t="str">
        <f ca="1">IFERROR(__xludf.DUMMYFUNCTION("""COMPUTED_VALUE"""),"Physical computing - Build a robot buggy")</f>
        <v>Physical computing - Build a robot buggy</v>
      </c>
      <c r="D75" s="30">
        <f ca="1">IFERROR(__xludf.DUMMYFUNCTION("""COMPUTED_VALUE"""),2)</f>
        <v>2</v>
      </c>
      <c r="E75" s="31" t="str">
        <f ca="1">IFERROR(__xludf.DUMMYFUNCTION("""COMPUTED_VALUE"""),"Interact with real-world objects using code and additional hardware")</f>
        <v>Interact with real-world objects using code and additional hardware</v>
      </c>
      <c r="F75" s="32" t="b">
        <f ca="1">IFERROR(__xludf.DUMMYFUNCTION("""COMPUTED_VALUE"""),TRUE)</f>
        <v>1</v>
      </c>
      <c r="G75" s="33" t="b">
        <f ca="1">IFERROR(__xludf.DUMMYFUNCTION("""COMPUTED_VALUE"""),TRUE)</f>
        <v>1</v>
      </c>
      <c r="H75" s="34"/>
      <c r="I75" s="32"/>
      <c r="J75" s="33"/>
      <c r="K75" s="33" t="b">
        <f ca="1">IFERROR(__xludf.DUMMYFUNCTION("""COMPUTED_VALUE"""),TRUE)</f>
        <v>1</v>
      </c>
      <c r="L75" s="33" t="b">
        <f ca="1">IFERROR(__xludf.DUMMYFUNCTION("""COMPUTED_VALUE"""),TRUE)</f>
        <v>1</v>
      </c>
      <c r="M75" s="33"/>
      <c r="N75" s="33"/>
      <c r="O75" s="33"/>
      <c r="P75" s="33"/>
      <c r="Q75" s="33" t="b">
        <f ca="1">IFERROR(__xludf.DUMMYFUNCTION("""COMPUTED_VALUE"""),TRUE)</f>
        <v>1</v>
      </c>
      <c r="R75" s="34"/>
      <c r="S75" s="100"/>
      <c r="T75" s="35">
        <f ca="1">IFERROR(__xludf.DUMMYFUNCTION("ArrayFormula(mod(COUNTUNIQUE($C$3:C75),2))"),0)</f>
        <v>0</v>
      </c>
    </row>
    <row r="76" spans="1:20" ht="28">
      <c r="A76" s="30" t="str">
        <f ca="1">IFERROR(__xludf.DUMMYFUNCTION("""COMPUTED_VALUE"""),"Non-GCSE")</f>
        <v>Non-GCSE</v>
      </c>
      <c r="B76" s="30">
        <f ca="1">IFERROR(__xludf.DUMMYFUNCTION("""COMPUTED_VALUE"""),4)</f>
        <v>4</v>
      </c>
      <c r="C76" s="31" t="str">
        <f ca="1">IFERROR(__xludf.DUMMYFUNCTION("""COMPUTED_VALUE"""),"Physical computing - Build a robot buggy")</f>
        <v>Physical computing - Build a robot buggy</v>
      </c>
      <c r="D76" s="30">
        <f ca="1">IFERROR(__xludf.DUMMYFUNCTION("""COMPUTED_VALUE"""),3)</f>
        <v>3</v>
      </c>
      <c r="E76" s="31" t="str">
        <f ca="1">IFERROR(__xludf.DUMMYFUNCTION("""COMPUTED_VALUE"""),"Use basic materials and tools to create a prototype")</f>
        <v>Use basic materials and tools to create a prototype</v>
      </c>
      <c r="F76" s="32" t="b">
        <f ca="1">IFERROR(__xludf.DUMMYFUNCTION("""COMPUTED_VALUE"""),TRUE)</f>
        <v>1</v>
      </c>
      <c r="G76" s="33" t="b">
        <f ca="1">IFERROR(__xludf.DUMMYFUNCTION("""COMPUTED_VALUE"""),TRUE)</f>
        <v>1</v>
      </c>
      <c r="H76" s="34"/>
      <c r="I76" s="32"/>
      <c r="J76" s="33"/>
      <c r="K76" s="33"/>
      <c r="L76" s="33" t="b">
        <f ca="1">IFERROR(__xludf.DUMMYFUNCTION("""COMPUTED_VALUE"""),TRUE)</f>
        <v>1</v>
      </c>
      <c r="M76" s="33"/>
      <c r="N76" s="33"/>
      <c r="O76" s="33"/>
      <c r="P76" s="33"/>
      <c r="Q76" s="33"/>
      <c r="R76" s="34"/>
      <c r="S76" s="100"/>
      <c r="T76" s="35">
        <f ca="1">IFERROR(__xludf.DUMMYFUNCTION("ArrayFormula(mod(COUNTUNIQUE($C$3:C76),2))"),0)</f>
        <v>0</v>
      </c>
    </row>
    <row r="77" spans="1:20" ht="28">
      <c r="A77" s="30" t="str">
        <f ca="1">IFERROR(__xludf.DUMMYFUNCTION("""COMPUTED_VALUE"""),"Non-GCSE")</f>
        <v>Non-GCSE</v>
      </c>
      <c r="B77" s="30">
        <f ca="1">IFERROR(__xludf.DUMMYFUNCTION("""COMPUTED_VALUE"""),4)</f>
        <v>4</v>
      </c>
      <c r="C77" s="31" t="str">
        <f ca="1">IFERROR(__xludf.DUMMYFUNCTION("""COMPUTED_VALUE"""),"Physical computing - Build a robot buggy")</f>
        <v>Physical computing - Build a robot buggy</v>
      </c>
      <c r="D77" s="30">
        <f ca="1">IFERROR(__xludf.DUMMYFUNCTION("""COMPUTED_VALUE"""),4)</f>
        <v>4</v>
      </c>
      <c r="E77" s="31" t="str">
        <f ca="1">IFERROR(__xludf.DUMMYFUNCTION("""COMPUTED_VALUE"""),"Combine inputs and outputs to solve a problem")</f>
        <v>Combine inputs and outputs to solve a problem</v>
      </c>
      <c r="F77" s="32" t="b">
        <f ca="1">IFERROR(__xludf.DUMMYFUNCTION("""COMPUTED_VALUE"""),TRUE)</f>
        <v>1</v>
      </c>
      <c r="G77" s="33" t="b">
        <f ca="1">IFERROR(__xludf.DUMMYFUNCTION("""COMPUTED_VALUE"""),TRUE)</f>
        <v>1</v>
      </c>
      <c r="H77" s="34"/>
      <c r="I77" s="32" t="b">
        <f ca="1">IFERROR(__xludf.DUMMYFUNCTION("""COMPUTED_VALUE"""),TRUE)</f>
        <v>1</v>
      </c>
      <c r="J77" s="33"/>
      <c r="K77" s="33" t="b">
        <f ca="1">IFERROR(__xludf.DUMMYFUNCTION("""COMPUTED_VALUE"""),TRUE)</f>
        <v>1</v>
      </c>
      <c r="L77" s="33" t="b">
        <f ca="1">IFERROR(__xludf.DUMMYFUNCTION("""COMPUTED_VALUE"""),TRUE)</f>
        <v>1</v>
      </c>
      <c r="M77" s="33"/>
      <c r="N77" s="33"/>
      <c r="O77" s="33"/>
      <c r="P77" s="33"/>
      <c r="Q77" s="33" t="b">
        <f ca="1">IFERROR(__xludf.DUMMYFUNCTION("""COMPUTED_VALUE"""),TRUE)</f>
        <v>1</v>
      </c>
      <c r="R77" s="34"/>
      <c r="S77" s="100"/>
      <c r="T77" s="35">
        <f ca="1">IFERROR(__xludf.DUMMYFUNCTION("ArrayFormula(mod(COUNTUNIQUE($C$3:C77),2))"),0)</f>
        <v>0</v>
      </c>
    </row>
    <row r="78" spans="1:20" ht="28">
      <c r="A78" s="30" t="str">
        <f ca="1">IFERROR(__xludf.DUMMYFUNCTION("""COMPUTED_VALUE"""),"Non-GCSE")</f>
        <v>Non-GCSE</v>
      </c>
      <c r="B78" s="30">
        <f ca="1">IFERROR(__xludf.DUMMYFUNCTION("""COMPUTED_VALUE"""),4)</f>
        <v>4</v>
      </c>
      <c r="C78" s="31" t="str">
        <f ca="1">IFERROR(__xludf.DUMMYFUNCTION("""COMPUTED_VALUE"""),"Physical computing - Build a robot buggy")</f>
        <v>Physical computing - Build a robot buggy</v>
      </c>
      <c r="D78" s="30">
        <f ca="1">IFERROR(__xludf.DUMMYFUNCTION("""COMPUTED_VALUE"""),4)</f>
        <v>4</v>
      </c>
      <c r="E78" s="31" t="str">
        <f ca="1">IFERROR(__xludf.DUMMYFUNCTION("""COMPUTED_VALUE"""),"Understand how ultrasonic sound waves work")</f>
        <v>Understand how ultrasonic sound waves work</v>
      </c>
      <c r="F78" s="32" t="b">
        <f ca="1">IFERROR(__xludf.DUMMYFUNCTION("""COMPUTED_VALUE"""),TRUE)</f>
        <v>1</v>
      </c>
      <c r="G78" s="33" t="b">
        <f ca="1">IFERROR(__xludf.DUMMYFUNCTION("""COMPUTED_VALUE"""),TRUE)</f>
        <v>1</v>
      </c>
      <c r="H78" s="34"/>
      <c r="I78" s="32"/>
      <c r="J78" s="33"/>
      <c r="K78" s="33" t="b">
        <f ca="1">IFERROR(__xludf.DUMMYFUNCTION("""COMPUTED_VALUE"""),TRUE)</f>
        <v>1</v>
      </c>
      <c r="L78" s="33"/>
      <c r="M78" s="33" t="b">
        <f ca="1">IFERROR(__xludf.DUMMYFUNCTION("""COMPUTED_VALUE"""),TRUE)</f>
        <v>1</v>
      </c>
      <c r="N78" s="33"/>
      <c r="O78" s="33"/>
      <c r="P78" s="33"/>
      <c r="Q78" s="33" t="b">
        <f ca="1">IFERROR(__xludf.DUMMYFUNCTION("""COMPUTED_VALUE"""),TRUE)</f>
        <v>1</v>
      </c>
      <c r="R78" s="34"/>
      <c r="S78" s="100"/>
      <c r="T78" s="35">
        <f ca="1">IFERROR(__xludf.DUMMYFUNCTION("ArrayFormula(mod(COUNTUNIQUE($C$3:C78),2))"),0)</f>
        <v>0</v>
      </c>
    </row>
    <row r="79" spans="1:20" ht="28">
      <c r="A79" s="30" t="str">
        <f ca="1">IFERROR(__xludf.DUMMYFUNCTION("""COMPUTED_VALUE"""),"Non-GCSE")</f>
        <v>Non-GCSE</v>
      </c>
      <c r="B79" s="30">
        <f ca="1">IFERROR(__xludf.DUMMYFUNCTION("""COMPUTED_VALUE"""),4)</f>
        <v>4</v>
      </c>
      <c r="C79" s="31" t="str">
        <f ca="1">IFERROR(__xludf.DUMMYFUNCTION("""COMPUTED_VALUE"""),"Physical computing - Build a robot buggy")</f>
        <v>Physical computing - Build a robot buggy</v>
      </c>
      <c r="D79" s="30">
        <f ca="1">IFERROR(__xludf.DUMMYFUNCTION("""COMPUTED_VALUE"""),5)</f>
        <v>5</v>
      </c>
      <c r="E79" s="31" t="str">
        <f ca="1">IFERROR(__xludf.DUMMYFUNCTION("""COMPUTED_VALUE"""),"Process input data to monitor and react to the environment")</f>
        <v>Process input data to monitor and react to the environment</v>
      </c>
      <c r="F79" s="32" t="b">
        <f ca="1">IFERROR(__xludf.DUMMYFUNCTION("""COMPUTED_VALUE"""),TRUE)</f>
        <v>1</v>
      </c>
      <c r="G79" s="33" t="b">
        <f ca="1">IFERROR(__xludf.DUMMYFUNCTION("""COMPUTED_VALUE"""),TRUE)</f>
        <v>1</v>
      </c>
      <c r="H79" s="34"/>
      <c r="I79" s="32"/>
      <c r="J79" s="33"/>
      <c r="K79" s="33" t="b">
        <f ca="1">IFERROR(__xludf.DUMMYFUNCTION("""COMPUTED_VALUE"""),TRUE)</f>
        <v>1</v>
      </c>
      <c r="L79" s="33"/>
      <c r="M79" s="33" t="b">
        <f ca="1">IFERROR(__xludf.DUMMYFUNCTION("""COMPUTED_VALUE"""),TRUE)</f>
        <v>1</v>
      </c>
      <c r="N79" s="33"/>
      <c r="O79" s="33"/>
      <c r="P79" s="33"/>
      <c r="Q79" s="33" t="b">
        <f ca="1">IFERROR(__xludf.DUMMYFUNCTION("""COMPUTED_VALUE"""),TRUE)</f>
        <v>1</v>
      </c>
      <c r="R79" s="34"/>
      <c r="S79" s="100"/>
      <c r="T79" s="35">
        <f ca="1">IFERROR(__xludf.DUMMYFUNCTION("ArrayFormula(mod(COUNTUNIQUE($C$3:C79),2))"),0)</f>
        <v>0</v>
      </c>
    </row>
    <row r="80" spans="1:20" ht="28">
      <c r="A80" s="30" t="str">
        <f ca="1">IFERROR(__xludf.DUMMYFUNCTION("""COMPUTED_VALUE"""),"Non-GCSE")</f>
        <v>Non-GCSE</v>
      </c>
      <c r="B80" s="30">
        <f ca="1">IFERROR(__xludf.DUMMYFUNCTION("""COMPUTED_VALUE"""),4)</f>
        <v>4</v>
      </c>
      <c r="C80" s="31" t="str">
        <f ca="1">IFERROR(__xludf.DUMMYFUNCTION("""COMPUTED_VALUE"""),"Physical computing - Build a robot buggy")</f>
        <v>Physical computing - Build a robot buggy</v>
      </c>
      <c r="D80" s="30">
        <f ca="1">IFERROR(__xludf.DUMMYFUNCTION("""COMPUTED_VALUE"""),5)</f>
        <v>5</v>
      </c>
      <c r="E80" s="31" t="str">
        <f ca="1">IFERROR(__xludf.DUMMYFUNCTION("""COMPUTED_VALUE"""),"Understand how reflective optical sensors work")</f>
        <v>Understand how reflective optical sensors work</v>
      </c>
      <c r="F80" s="32" t="b">
        <f ca="1">IFERROR(__xludf.DUMMYFUNCTION("""COMPUTED_VALUE"""),TRUE)</f>
        <v>1</v>
      </c>
      <c r="G80" s="33" t="b">
        <f ca="1">IFERROR(__xludf.DUMMYFUNCTION("""COMPUTED_VALUE"""),TRUE)</f>
        <v>1</v>
      </c>
      <c r="H80" s="34"/>
      <c r="I80" s="32"/>
      <c r="J80" s="33"/>
      <c r="K80" s="33" t="b">
        <f ca="1">IFERROR(__xludf.DUMMYFUNCTION("""COMPUTED_VALUE"""),TRUE)</f>
        <v>1</v>
      </c>
      <c r="L80" s="33"/>
      <c r="M80" s="33" t="b">
        <f ca="1">IFERROR(__xludf.DUMMYFUNCTION("""COMPUTED_VALUE"""),TRUE)</f>
        <v>1</v>
      </c>
      <c r="N80" s="33"/>
      <c r="O80" s="33"/>
      <c r="P80" s="33"/>
      <c r="Q80" s="33"/>
      <c r="R80" s="34"/>
      <c r="S80" s="100"/>
      <c r="T80" s="35">
        <f ca="1">IFERROR(__xludf.DUMMYFUNCTION("ArrayFormula(mod(COUNTUNIQUE($C$3:C80),2))"),0)</f>
        <v>0</v>
      </c>
    </row>
    <row r="81" spans="1:20" ht="28">
      <c r="A81" s="69" t="str">
        <f ca="1">IFERROR(__xludf.DUMMYFUNCTION("""COMPUTED_VALUE"""),"Non-GCSE")</f>
        <v>Non-GCSE</v>
      </c>
      <c r="B81" s="69">
        <f ca="1">IFERROR(__xludf.DUMMYFUNCTION("""COMPUTED_VALUE"""),4)</f>
        <v>4</v>
      </c>
      <c r="C81" s="70" t="str">
        <f ca="1">IFERROR(__xludf.DUMMYFUNCTION("""COMPUTED_VALUE"""),"Physical computing - Build a robot buggy")</f>
        <v>Physical computing - Build a robot buggy</v>
      </c>
      <c r="D81" s="69">
        <f ca="1">IFERROR(__xludf.DUMMYFUNCTION("""COMPUTED_VALUE"""),6)</f>
        <v>6</v>
      </c>
      <c r="E81" s="70" t="str">
        <f ca="1">IFERROR(__xludf.DUMMYFUNCTION("""COMPUTED_VALUE"""),"Synchronise the behaviour of physical hardware components for a given situation")</f>
        <v>Synchronise the behaviour of physical hardware components for a given situation</v>
      </c>
      <c r="F81" s="71" t="b">
        <f ca="1">IFERROR(__xludf.DUMMYFUNCTION("""COMPUTED_VALUE"""),TRUE)</f>
        <v>1</v>
      </c>
      <c r="G81" s="72" t="b">
        <f ca="1">IFERROR(__xludf.DUMMYFUNCTION("""COMPUTED_VALUE"""),TRUE)</f>
        <v>1</v>
      </c>
      <c r="H81" s="73"/>
      <c r="I81" s="71" t="b">
        <f ca="1">IFERROR(__xludf.DUMMYFUNCTION("""COMPUTED_VALUE"""),TRUE)</f>
        <v>1</v>
      </c>
      <c r="J81" s="72"/>
      <c r="K81" s="72" t="b">
        <f ca="1">IFERROR(__xludf.DUMMYFUNCTION("""COMPUTED_VALUE"""),TRUE)</f>
        <v>1</v>
      </c>
      <c r="L81" s="72" t="b">
        <f ca="1">IFERROR(__xludf.DUMMYFUNCTION("""COMPUTED_VALUE"""),TRUE)</f>
        <v>1</v>
      </c>
      <c r="M81" s="72" t="b">
        <f ca="1">IFERROR(__xludf.DUMMYFUNCTION("""COMPUTED_VALUE"""),TRUE)</f>
        <v>1</v>
      </c>
      <c r="N81" s="72"/>
      <c r="O81" s="72"/>
      <c r="P81" s="72"/>
      <c r="Q81" s="72" t="b">
        <f ca="1">IFERROR(__xludf.DUMMYFUNCTION("""COMPUTED_VALUE"""),TRUE)</f>
        <v>1</v>
      </c>
      <c r="R81" s="73"/>
      <c r="S81" s="104"/>
      <c r="T81" s="74">
        <f ca="1">IFERROR(__xludf.DUMMYFUNCTION("ArrayFormula(mod(COUNTUNIQUE($C$3:C81),2))"),0)</f>
        <v>0</v>
      </c>
    </row>
    <row r="82" spans="1:20" ht="21">
      <c r="A82" s="18" t="str">
        <f ca="1">IFERROR(__xludf.DUMMYFUNCTION("""COMPUTED_VALUE"""),"Non-GCSE")</f>
        <v>Non-GCSE</v>
      </c>
      <c r="B82" s="18">
        <f ca="1">IFERROR(__xludf.DUMMYFUNCTION("""COMPUTED_VALUE"""),5)</f>
        <v>5</v>
      </c>
      <c r="C82" s="19" t="str">
        <f ca="1">IFERROR(__xludf.DUMMYFUNCTION("""COMPUTED_VALUE"""),"Spreadsheets")</f>
        <v>Spreadsheets</v>
      </c>
      <c r="D82" s="18">
        <f ca="1">IFERROR(__xludf.DUMMYFUNCTION("""COMPUTED_VALUE"""),1)</f>
        <v>1</v>
      </c>
      <c r="E82" s="19" t="str">
        <f ca="1">IFERROR(__xludf.DUMMYFUNCTION("""COMPUTED_VALUE"""),"Apply cell formatting")</f>
        <v>Apply cell formatting</v>
      </c>
      <c r="F82" s="75" t="b">
        <f ca="1">IFERROR(__xludf.DUMMYFUNCTION("""COMPUTED_VALUE"""),TRUE)</f>
        <v>1</v>
      </c>
      <c r="G82" s="76" t="b">
        <f ca="1">IFERROR(__xludf.DUMMYFUNCTION("""COMPUTED_VALUE"""),TRUE)</f>
        <v>1</v>
      </c>
      <c r="H82" s="77"/>
      <c r="I82" s="75"/>
      <c r="J82" s="76"/>
      <c r="K82" s="76"/>
      <c r="L82" s="76"/>
      <c r="M82" s="76" t="b">
        <f ca="1">IFERROR(__xludf.DUMMYFUNCTION("""COMPUTED_VALUE"""),TRUE)</f>
        <v>1</v>
      </c>
      <c r="N82" s="76" t="b">
        <f ca="1">IFERROR(__xludf.DUMMYFUNCTION("""COMPUTED_VALUE"""),TRUE)</f>
        <v>1</v>
      </c>
      <c r="O82" s="76"/>
      <c r="P82" s="76"/>
      <c r="Q82" s="76"/>
      <c r="R82" s="77"/>
      <c r="S82" s="105"/>
      <c r="T82" s="78">
        <f ca="1">IFERROR(__xludf.DUMMYFUNCTION("ArrayFormula(mod(COUNTUNIQUE($C$3:C82),2))"),1)</f>
        <v>1</v>
      </c>
    </row>
    <row r="83" spans="1:20" ht="84">
      <c r="A83" s="79" t="str">
        <f ca="1">IFERROR(__xludf.DUMMYFUNCTION("""COMPUTED_VALUE"""),"Non-GCSE")</f>
        <v>Non-GCSE</v>
      </c>
      <c r="B83" s="79">
        <f ca="1">IFERROR(__xludf.DUMMYFUNCTION("""COMPUTED_VALUE"""),5)</f>
        <v>5</v>
      </c>
      <c r="C83" s="80" t="str">
        <f ca="1">IFERROR(__xludf.DUMMYFUNCTION("""COMPUTED_VALUE"""),"Spreadsheets")</f>
        <v>Spreadsheets</v>
      </c>
      <c r="D83" s="79">
        <f ca="1">IFERROR(__xludf.DUMMYFUNCTION("""COMPUTED_VALUE"""),1)</f>
        <v>1</v>
      </c>
      <c r="E83" s="80" t="str">
        <f ca="1">IFERROR(__xludf.DUMMYFUNCTION("""COMPUTED_VALUE"""),"Create a spreadsheet model for a given scenario")</f>
        <v>Create a spreadsheet model for a given scenario</v>
      </c>
      <c r="F83" s="81" t="b">
        <f ca="1">IFERROR(__xludf.DUMMYFUNCTION("""COMPUTED_VALUE"""),TRUE)</f>
        <v>1</v>
      </c>
      <c r="G83" s="82" t="b">
        <f ca="1">IFERROR(__xludf.DUMMYFUNCTION("""COMPUTED_VALUE"""),TRUE)</f>
        <v>1</v>
      </c>
      <c r="H83" s="83"/>
      <c r="I83" s="81"/>
      <c r="J83" s="82"/>
      <c r="K83" s="82"/>
      <c r="L83" s="82"/>
      <c r="M83" s="82" t="b">
        <f ca="1">IFERROR(__xludf.DUMMYFUNCTION("""COMPUTED_VALUE"""),TRUE)</f>
        <v>1</v>
      </c>
      <c r="N83" s="82" t="b">
        <f ca="1">IFERROR(__xludf.DUMMYFUNCTION("""COMPUTED_VALUE"""),TRUE)</f>
        <v>1</v>
      </c>
      <c r="O83" s="82"/>
      <c r="P83" s="82"/>
      <c r="Q83" s="82"/>
      <c r="R83" s="83"/>
      <c r="S83" s="106" t="s">
        <v>60</v>
      </c>
      <c r="T83" s="84">
        <f ca="1">IFERROR(__xludf.DUMMYFUNCTION("ArrayFormula(COUNTUNIQUE($C$3:C83))"),5)</f>
        <v>5</v>
      </c>
    </row>
    <row r="84" spans="1:20" ht="84">
      <c r="A84" s="69" t="str">
        <f ca="1">IFERROR(__xludf.DUMMYFUNCTION("""COMPUTED_VALUE"""),"Non-GCSE")</f>
        <v>Non-GCSE</v>
      </c>
      <c r="B84" s="69">
        <f ca="1">IFERROR(__xludf.DUMMYFUNCTION("""COMPUTED_VALUE"""),5)</f>
        <v>5</v>
      </c>
      <c r="C84" s="70" t="str">
        <f ca="1">IFERROR(__xludf.DUMMYFUNCTION("""COMPUTED_VALUE"""),"Spreadsheets")</f>
        <v>Spreadsheets</v>
      </c>
      <c r="D84" s="69">
        <f ca="1">IFERROR(__xludf.DUMMYFUNCTION("""COMPUTED_VALUE"""),1)</f>
        <v>1</v>
      </c>
      <c r="E84" s="70" t="str">
        <f ca="1">IFERROR(__xludf.DUMMYFUNCTION("""COMPUTED_VALUE"""),"Demonstrate how to use formulae to perform calculations")</f>
        <v>Demonstrate how to use formulae to perform calculations</v>
      </c>
      <c r="F84" s="85" t="b">
        <f ca="1">IFERROR(__xludf.DUMMYFUNCTION("""COMPUTED_VALUE"""),TRUE)</f>
        <v>1</v>
      </c>
      <c r="G84" s="86" t="b">
        <f ca="1">IFERROR(__xludf.DUMMYFUNCTION("""COMPUTED_VALUE"""),TRUE)</f>
        <v>1</v>
      </c>
      <c r="H84" s="87"/>
      <c r="I84" s="85"/>
      <c r="J84" s="86"/>
      <c r="K84" s="86"/>
      <c r="L84" s="86"/>
      <c r="M84" s="86" t="b">
        <f ca="1">IFERROR(__xludf.DUMMYFUNCTION("""COMPUTED_VALUE"""),TRUE)</f>
        <v>1</v>
      </c>
      <c r="N84" s="86" t="b">
        <f ca="1">IFERROR(__xludf.DUMMYFUNCTION("""COMPUTED_VALUE"""),TRUE)</f>
        <v>1</v>
      </c>
      <c r="O84" s="86"/>
      <c r="P84" s="86"/>
      <c r="Q84" s="86" t="b">
        <f ca="1">IFERROR(__xludf.DUMMYFUNCTION("""COMPUTED_VALUE"""),TRUE)</f>
        <v>1</v>
      </c>
      <c r="R84" s="87"/>
      <c r="S84" s="104" t="s">
        <v>60</v>
      </c>
      <c r="T84" s="74">
        <f ca="1">IFERROR(__xludf.DUMMYFUNCTION("ArrayFormula(mod(COUNTUNIQUE($C$3:C84),2))"),1)</f>
        <v>1</v>
      </c>
    </row>
    <row r="85" spans="1:20" ht="84">
      <c r="A85" s="20" t="str">
        <f ca="1">IFERROR(__xludf.DUMMYFUNCTION("""COMPUTED_VALUE"""),"Non-GCSE")</f>
        <v>Non-GCSE</v>
      </c>
      <c r="B85" s="88">
        <f ca="1">IFERROR(__xludf.DUMMYFUNCTION("""COMPUTED_VALUE"""),5)</f>
        <v>5</v>
      </c>
      <c r="C85" s="89" t="str">
        <f ca="1">IFERROR(__xludf.DUMMYFUNCTION("""COMPUTED_VALUE"""),"Spreadsheets")</f>
        <v>Spreadsheets</v>
      </c>
      <c r="D85" s="88">
        <f ca="1">IFERROR(__xludf.DUMMYFUNCTION("""COMPUTED_VALUE"""),2)</f>
        <v>2</v>
      </c>
      <c r="E85" s="90" t="str">
        <f ca="1">IFERROR(__xludf.DUMMYFUNCTION("""COMPUTED_VALUE"""),"Implement formatting to make the spreadsheet readable and to highlight different specific information")</f>
        <v>Implement formatting to make the spreadsheet readable and to highlight different specific information</v>
      </c>
      <c r="F85" s="86" t="b">
        <f ca="1">IFERROR(__xludf.DUMMYFUNCTION("""COMPUTED_VALUE"""),TRUE)</f>
        <v>1</v>
      </c>
      <c r="G85" s="86" t="b">
        <f ca="1">IFERROR(__xludf.DUMMYFUNCTION("""COMPUTED_VALUE"""),TRUE)</f>
        <v>1</v>
      </c>
      <c r="H85" s="91"/>
      <c r="I85" s="92"/>
      <c r="J85" s="86"/>
      <c r="K85" s="86"/>
      <c r="L85" s="86"/>
      <c r="M85" s="86" t="b">
        <f ca="1">IFERROR(__xludf.DUMMYFUNCTION("""COMPUTED_VALUE"""),TRUE)</f>
        <v>1</v>
      </c>
      <c r="N85" s="86" t="b">
        <f ca="1">IFERROR(__xludf.DUMMYFUNCTION("""COMPUTED_VALUE"""),TRUE)</f>
        <v>1</v>
      </c>
      <c r="O85" s="86"/>
      <c r="P85" s="86"/>
      <c r="Q85" s="86"/>
      <c r="R85" s="93"/>
      <c r="S85" s="107" t="s">
        <v>60</v>
      </c>
      <c r="T85" s="23">
        <f ca="1">IFERROR(__xludf.DUMMYFUNCTION("ArrayFormula(mod(COUNTUNIQUE($C$3:C85),2))"),1)</f>
        <v>1</v>
      </c>
    </row>
    <row r="86" spans="1:20" ht="84">
      <c r="A86" s="24" t="str">
        <f ca="1">IFERROR(__xludf.DUMMYFUNCTION("""COMPUTED_VALUE"""),"Non-GCSE")</f>
        <v>Non-GCSE</v>
      </c>
      <c r="B86" s="24">
        <f ca="1">IFERROR(__xludf.DUMMYFUNCTION("""COMPUTED_VALUE"""),5)</f>
        <v>5</v>
      </c>
      <c r="C86" s="25" t="str">
        <f ca="1">IFERROR(__xludf.DUMMYFUNCTION("""COMPUTED_VALUE"""),"Spreadsheets")</f>
        <v>Spreadsheets</v>
      </c>
      <c r="D86" s="24">
        <f ca="1">IFERROR(__xludf.DUMMYFUNCTION("""COMPUTED_VALUE"""),2)</f>
        <v>2</v>
      </c>
      <c r="E86" s="25" t="str">
        <f ca="1">IFERROR(__xludf.DUMMYFUNCTION("""COMPUTED_VALUE"""),"Use data validation when entering data in order to reduce user error")</f>
        <v>Use data validation when entering data in order to reduce user error</v>
      </c>
      <c r="F86" s="66" t="b">
        <f ca="1">IFERROR(__xludf.DUMMYFUNCTION("""COMPUTED_VALUE"""),TRUE)</f>
        <v>1</v>
      </c>
      <c r="G86" s="67" t="b">
        <f ca="1">IFERROR(__xludf.DUMMYFUNCTION("""COMPUTED_VALUE"""),TRUE)</f>
        <v>1</v>
      </c>
      <c r="H86" s="65"/>
      <c r="I86" s="66"/>
      <c r="J86" s="67"/>
      <c r="K86" s="67"/>
      <c r="L86" s="67"/>
      <c r="M86" s="67" t="b">
        <f ca="1">IFERROR(__xludf.DUMMYFUNCTION("""COMPUTED_VALUE"""),TRUE)</f>
        <v>1</v>
      </c>
      <c r="N86" s="67" t="b">
        <f ca="1">IFERROR(__xludf.DUMMYFUNCTION("""COMPUTED_VALUE"""),TRUE)</f>
        <v>1</v>
      </c>
      <c r="O86" s="67"/>
      <c r="P86" s="67"/>
      <c r="Q86" s="67"/>
      <c r="R86" s="65"/>
      <c r="S86" s="99" t="s">
        <v>60</v>
      </c>
      <c r="T86" s="29">
        <f ca="1">IFERROR(__xludf.DUMMYFUNCTION("ArrayFormula(mod(COUNTUNIQUE($C$3:C86),2))"),1)</f>
        <v>1</v>
      </c>
    </row>
    <row r="87" spans="1:20" ht="84">
      <c r="A87" s="30" t="str">
        <f ca="1">IFERROR(__xludf.DUMMYFUNCTION("""COMPUTED_VALUE"""),"Non-GCSE")</f>
        <v>Non-GCSE</v>
      </c>
      <c r="B87" s="30">
        <f ca="1">IFERROR(__xludf.DUMMYFUNCTION("""COMPUTED_VALUE"""),5)</f>
        <v>5</v>
      </c>
      <c r="C87" s="31" t="str">
        <f ca="1">IFERROR(__xludf.DUMMYFUNCTION("""COMPUTED_VALUE"""),"Spreadsheets")</f>
        <v>Spreadsheets</v>
      </c>
      <c r="D87" s="30">
        <f ca="1">IFERROR(__xludf.DUMMYFUNCTION("""COMPUTED_VALUE"""),3)</f>
        <v>3</v>
      </c>
      <c r="E87" s="31" t="str">
        <f ca="1">IFERROR(__xludf.DUMMYFUNCTION("""COMPUTED_VALUE"""),"Format cells correctly, e.g. cells representing money should be currency, etc.")</f>
        <v>Format cells correctly, e.g. cells representing money should be currency, etc.</v>
      </c>
      <c r="F87" s="51" t="b">
        <f ca="1">IFERROR(__xludf.DUMMYFUNCTION("""COMPUTED_VALUE"""),TRUE)</f>
        <v>1</v>
      </c>
      <c r="G87" s="52" t="b">
        <f ca="1">IFERROR(__xludf.DUMMYFUNCTION("""COMPUTED_VALUE"""),TRUE)</f>
        <v>1</v>
      </c>
      <c r="H87" s="53"/>
      <c r="I87" s="51"/>
      <c r="J87" s="52"/>
      <c r="K87" s="52"/>
      <c r="L87" s="52"/>
      <c r="M87" s="52" t="b">
        <f ca="1">IFERROR(__xludf.DUMMYFUNCTION("""COMPUTED_VALUE"""),TRUE)</f>
        <v>1</v>
      </c>
      <c r="N87" s="52" t="b">
        <f ca="1">IFERROR(__xludf.DUMMYFUNCTION("""COMPUTED_VALUE"""),TRUE)</f>
        <v>1</v>
      </c>
      <c r="O87" s="52"/>
      <c r="P87" s="52"/>
      <c r="Q87" s="52"/>
      <c r="R87" s="53"/>
      <c r="S87" s="100" t="s">
        <v>60</v>
      </c>
      <c r="T87" s="35">
        <f ca="1">IFERROR(__xludf.DUMMYFUNCTION("ArrayFormula(mod(COUNTUNIQUE($C$3:C87),2))"),1)</f>
        <v>1</v>
      </c>
    </row>
    <row r="88" spans="1:20" ht="84">
      <c r="A88" s="30" t="str">
        <f ca="1">IFERROR(__xludf.DUMMYFUNCTION("""COMPUTED_VALUE"""),"Non-GCSE")</f>
        <v>Non-GCSE</v>
      </c>
      <c r="B88" s="30">
        <f ca="1">IFERROR(__xludf.DUMMYFUNCTION("""COMPUTED_VALUE"""),5)</f>
        <v>5</v>
      </c>
      <c r="C88" s="31" t="str">
        <f ca="1">IFERROR(__xludf.DUMMYFUNCTION("""COMPUTED_VALUE"""),"Spreadsheets")</f>
        <v>Spreadsheets</v>
      </c>
      <c r="D88" s="30">
        <f ca="1">IFERROR(__xludf.DUMMYFUNCTION("""COMPUTED_VALUE"""),3)</f>
        <v>3</v>
      </c>
      <c r="E88" s="31" t="str">
        <f ca="1">IFERROR(__xludf.DUMMYFUNCTION("""COMPUTED_VALUE"""),"Implement conditional formatting techniques")</f>
        <v>Implement conditional formatting techniques</v>
      </c>
      <c r="F88" s="51" t="b">
        <f ca="1">IFERROR(__xludf.DUMMYFUNCTION("""COMPUTED_VALUE"""),TRUE)</f>
        <v>1</v>
      </c>
      <c r="G88" s="52" t="b">
        <f ca="1">IFERROR(__xludf.DUMMYFUNCTION("""COMPUTED_VALUE"""),TRUE)</f>
        <v>1</v>
      </c>
      <c r="H88" s="53"/>
      <c r="I88" s="51"/>
      <c r="J88" s="52"/>
      <c r="K88" s="52"/>
      <c r="L88" s="52"/>
      <c r="M88" s="52" t="b">
        <f ca="1">IFERROR(__xludf.DUMMYFUNCTION("""COMPUTED_VALUE"""),TRUE)</f>
        <v>1</v>
      </c>
      <c r="N88" s="52" t="b">
        <f ca="1">IFERROR(__xludf.DUMMYFUNCTION("""COMPUTED_VALUE"""),TRUE)</f>
        <v>1</v>
      </c>
      <c r="O88" s="52"/>
      <c r="P88" s="52"/>
      <c r="Q88" s="52" t="b">
        <f ca="1">IFERROR(__xludf.DUMMYFUNCTION("""COMPUTED_VALUE"""),TRUE)</f>
        <v>1</v>
      </c>
      <c r="R88" s="53"/>
      <c r="S88" s="100" t="s">
        <v>60</v>
      </c>
      <c r="T88" s="35">
        <f ca="1">IFERROR(__xludf.DUMMYFUNCTION("ArrayFormula(mod(COUNTUNIQUE($C$3:C88),2))"),1)</f>
        <v>1</v>
      </c>
    </row>
    <row r="89" spans="1:20" ht="84">
      <c r="A89" s="30" t="str">
        <f ca="1">IFERROR(__xludf.DUMMYFUNCTION("""COMPUTED_VALUE"""),"Non-GCSE")</f>
        <v>Non-GCSE</v>
      </c>
      <c r="B89" s="30">
        <f ca="1">IFERROR(__xludf.DUMMYFUNCTION("""COMPUTED_VALUE"""),5)</f>
        <v>5</v>
      </c>
      <c r="C89" s="31" t="str">
        <f ca="1">IFERROR(__xludf.DUMMYFUNCTION("""COMPUTED_VALUE"""),"Spreadsheets")</f>
        <v>Spreadsheets</v>
      </c>
      <c r="D89" s="30">
        <f ca="1">IFERROR(__xludf.DUMMYFUNCTION("""COMPUTED_VALUE"""),4)</f>
        <v>4</v>
      </c>
      <c r="E89" s="31" t="str">
        <f ca="1">IFERROR(__xludf.DUMMYFUNCTION("""COMPUTED_VALUE"""),"Implement and test a macro to carry out a repetitive task")</f>
        <v>Implement and test a macro to carry out a repetitive task</v>
      </c>
      <c r="F89" s="51" t="b">
        <f ca="1">IFERROR(__xludf.DUMMYFUNCTION("""COMPUTED_VALUE"""),TRUE)</f>
        <v>1</v>
      </c>
      <c r="G89" s="52" t="b">
        <f ca="1">IFERROR(__xludf.DUMMYFUNCTION("""COMPUTED_VALUE"""),TRUE)</f>
        <v>1</v>
      </c>
      <c r="H89" s="53"/>
      <c r="I89" s="51"/>
      <c r="J89" s="52"/>
      <c r="K89" s="52"/>
      <c r="L89" s="52"/>
      <c r="M89" s="52" t="b">
        <f ca="1">IFERROR(__xludf.DUMMYFUNCTION("""COMPUTED_VALUE"""),TRUE)</f>
        <v>1</v>
      </c>
      <c r="N89" s="52" t="b">
        <f ca="1">IFERROR(__xludf.DUMMYFUNCTION("""COMPUTED_VALUE"""),TRUE)</f>
        <v>1</v>
      </c>
      <c r="O89" s="52"/>
      <c r="P89" s="52"/>
      <c r="Q89" s="52" t="b">
        <f ca="1">IFERROR(__xludf.DUMMYFUNCTION("""COMPUTED_VALUE"""),TRUE)</f>
        <v>1</v>
      </c>
      <c r="R89" s="53"/>
      <c r="S89" s="100" t="s">
        <v>60</v>
      </c>
      <c r="T89" s="35">
        <f ca="1">IFERROR(__xludf.DUMMYFUNCTION("ArrayFormula(mod(COUNTUNIQUE($C$3:C89),2))"),1)</f>
        <v>1</v>
      </c>
    </row>
    <row r="90" spans="1:20" ht="84">
      <c r="A90" s="30" t="str">
        <f ca="1">IFERROR(__xludf.DUMMYFUNCTION("""COMPUTED_VALUE"""),"Non-GCSE")</f>
        <v>Non-GCSE</v>
      </c>
      <c r="B90" s="30">
        <f ca="1">IFERROR(__xludf.DUMMYFUNCTION("""COMPUTED_VALUE"""),5)</f>
        <v>5</v>
      </c>
      <c r="C90" s="31" t="str">
        <f ca="1">IFERROR(__xludf.DUMMYFUNCTION("""COMPUTED_VALUE"""),"Spreadsheets")</f>
        <v>Spreadsheets</v>
      </c>
      <c r="D90" s="30">
        <f ca="1">IFERROR(__xludf.DUMMYFUNCTION("""COMPUTED_VALUE"""),4)</f>
        <v>4</v>
      </c>
      <c r="E90" s="31" t="str">
        <f ca="1">IFERROR(__xludf.DUMMYFUNCTION("""COMPUTED_VALUE"""),"Recognise the importance of clear titles and labels")</f>
        <v>Recognise the importance of clear titles and labels</v>
      </c>
      <c r="F90" s="51" t="b">
        <f ca="1">IFERROR(__xludf.DUMMYFUNCTION("""COMPUTED_VALUE"""),TRUE)</f>
        <v>1</v>
      </c>
      <c r="G90" s="52" t="b">
        <f ca="1">IFERROR(__xludf.DUMMYFUNCTION("""COMPUTED_VALUE"""),TRUE)</f>
        <v>1</v>
      </c>
      <c r="H90" s="53"/>
      <c r="I90" s="51"/>
      <c r="J90" s="52"/>
      <c r="K90" s="52"/>
      <c r="L90" s="52"/>
      <c r="M90" s="52" t="b">
        <f ca="1">IFERROR(__xludf.DUMMYFUNCTION("""COMPUTED_VALUE"""),TRUE)</f>
        <v>1</v>
      </c>
      <c r="N90" s="52" t="b">
        <f ca="1">IFERROR(__xludf.DUMMYFUNCTION("""COMPUTED_VALUE"""),TRUE)</f>
        <v>1</v>
      </c>
      <c r="O90" s="52"/>
      <c r="P90" s="52"/>
      <c r="Q90" s="52"/>
      <c r="R90" s="53"/>
      <c r="S90" s="100" t="s">
        <v>60</v>
      </c>
      <c r="T90" s="35">
        <f ca="1">IFERROR(__xludf.DUMMYFUNCTION("ArrayFormula(mod(COUNTUNIQUE($C$3:C90),2))"),1)</f>
        <v>1</v>
      </c>
    </row>
    <row r="91" spans="1:20" ht="84">
      <c r="A91" s="30" t="str">
        <f ca="1">IFERROR(__xludf.DUMMYFUNCTION("""COMPUTED_VALUE"""),"Non-GCSE")</f>
        <v>Non-GCSE</v>
      </c>
      <c r="B91" s="30">
        <f ca="1">IFERROR(__xludf.DUMMYFUNCTION("""COMPUTED_VALUE"""),5)</f>
        <v>5</v>
      </c>
      <c r="C91" s="31" t="str">
        <f ca="1">IFERROR(__xludf.DUMMYFUNCTION("""COMPUTED_VALUE"""),"Spreadsheets")</f>
        <v>Spreadsheets</v>
      </c>
      <c r="D91" s="30">
        <f ca="1">IFERROR(__xludf.DUMMYFUNCTION("""COMPUTED_VALUE"""),4)</f>
        <v>4</v>
      </c>
      <c r="E91" s="31" t="str">
        <f ca="1">IFERROR(__xludf.DUMMYFUNCTION("""COMPUTED_VALUE"""),"Select the most suitable chart to visualise the selected data")</f>
        <v>Select the most suitable chart to visualise the selected data</v>
      </c>
      <c r="F91" s="51" t="b">
        <f ca="1">IFERROR(__xludf.DUMMYFUNCTION("""COMPUTED_VALUE"""),TRUE)</f>
        <v>1</v>
      </c>
      <c r="G91" s="52" t="b">
        <f ca="1">IFERROR(__xludf.DUMMYFUNCTION("""COMPUTED_VALUE"""),TRUE)</f>
        <v>1</v>
      </c>
      <c r="H91" s="53"/>
      <c r="I91" s="51"/>
      <c r="J91" s="52"/>
      <c r="K91" s="52"/>
      <c r="L91" s="52"/>
      <c r="M91" s="52" t="b">
        <f ca="1">IFERROR(__xludf.DUMMYFUNCTION("""COMPUTED_VALUE"""),TRUE)</f>
        <v>1</v>
      </c>
      <c r="N91" s="52" t="b">
        <f ca="1">IFERROR(__xludf.DUMMYFUNCTION("""COMPUTED_VALUE"""),TRUE)</f>
        <v>1</v>
      </c>
      <c r="O91" s="52"/>
      <c r="P91" s="52"/>
      <c r="Q91" s="52"/>
      <c r="R91" s="53"/>
      <c r="S91" s="100" t="s">
        <v>60</v>
      </c>
      <c r="T91" s="35">
        <f ca="1">IFERROR(__xludf.DUMMYFUNCTION("ArrayFormula(mod(COUNTUNIQUE($C$3:C91),2))"),1)</f>
        <v>1</v>
      </c>
    </row>
    <row r="92" spans="1:20" ht="84">
      <c r="A92" s="30" t="str">
        <f ca="1">IFERROR(__xludf.DUMMYFUNCTION("""COMPUTED_VALUE"""),"Non-GCSE")</f>
        <v>Non-GCSE</v>
      </c>
      <c r="B92" s="30">
        <f ca="1">IFERROR(__xludf.DUMMYFUNCTION("""COMPUTED_VALUE"""),5)</f>
        <v>5</v>
      </c>
      <c r="C92" s="31" t="str">
        <f ca="1">IFERROR(__xludf.DUMMYFUNCTION("""COMPUTED_VALUE"""),"Spreadsheets")</f>
        <v>Spreadsheets</v>
      </c>
      <c r="D92" s="30">
        <f ca="1">IFERROR(__xludf.DUMMYFUNCTION("""COMPUTED_VALUE"""),5)</f>
        <v>5</v>
      </c>
      <c r="E92" s="31" t="str">
        <f ca="1">IFERROR(__xludf.DUMMYFUNCTION("""COMPUTED_VALUE"""),"Implement a LOOKUP function to retrieve data")</f>
        <v>Implement a LOOKUP function to retrieve data</v>
      </c>
      <c r="F92" s="51" t="b">
        <f ca="1">IFERROR(__xludf.DUMMYFUNCTION("""COMPUTED_VALUE"""),TRUE)</f>
        <v>1</v>
      </c>
      <c r="G92" s="52" t="b">
        <f ca="1">IFERROR(__xludf.DUMMYFUNCTION("""COMPUTED_VALUE"""),TRUE)</f>
        <v>1</v>
      </c>
      <c r="H92" s="53"/>
      <c r="I92" s="51"/>
      <c r="J92" s="52"/>
      <c r="K92" s="52"/>
      <c r="L92" s="52"/>
      <c r="M92" s="52" t="b">
        <f ca="1">IFERROR(__xludf.DUMMYFUNCTION("""COMPUTED_VALUE"""),TRUE)</f>
        <v>1</v>
      </c>
      <c r="N92" s="52" t="b">
        <f ca="1">IFERROR(__xludf.DUMMYFUNCTION("""COMPUTED_VALUE"""),TRUE)</f>
        <v>1</v>
      </c>
      <c r="O92" s="52"/>
      <c r="P92" s="52"/>
      <c r="Q92" s="52" t="b">
        <f ca="1">IFERROR(__xludf.DUMMYFUNCTION("""COMPUTED_VALUE"""),TRUE)</f>
        <v>1</v>
      </c>
      <c r="R92" s="53"/>
      <c r="S92" s="100" t="s">
        <v>60</v>
      </c>
      <c r="T92" s="35">
        <f ca="1">IFERROR(__xludf.DUMMYFUNCTION("ArrayFormula(mod(COUNTUNIQUE($C$3:C92),2))"),1)</f>
        <v>1</v>
      </c>
    </row>
    <row r="93" spans="1:20" ht="84">
      <c r="A93" s="30" t="str">
        <f ca="1">IFERROR(__xludf.DUMMYFUNCTION("""COMPUTED_VALUE"""),"Non-GCSE")</f>
        <v>Non-GCSE</v>
      </c>
      <c r="B93" s="30">
        <f ca="1">IFERROR(__xludf.DUMMYFUNCTION("""COMPUTED_VALUE"""),5)</f>
        <v>5</v>
      </c>
      <c r="C93" s="31" t="str">
        <f ca="1">IFERROR(__xludf.DUMMYFUNCTION("""COMPUTED_VALUE"""),"Spreadsheets")</f>
        <v>Spreadsheets</v>
      </c>
      <c r="D93" s="30">
        <f ca="1">IFERROR(__xludf.DUMMYFUNCTION("""COMPUTED_VALUE"""),5)</f>
        <v>5</v>
      </c>
      <c r="E93" s="31" t="str">
        <f ca="1">IFERROR(__xludf.DUMMYFUNCTION("""COMPUTED_VALUE"""),"Implement an IF function to give the user feedback")</f>
        <v>Implement an IF function to give the user feedback</v>
      </c>
      <c r="F93" s="51" t="b">
        <f ca="1">IFERROR(__xludf.DUMMYFUNCTION("""COMPUTED_VALUE"""),TRUE)</f>
        <v>1</v>
      </c>
      <c r="G93" s="52" t="b">
        <f ca="1">IFERROR(__xludf.DUMMYFUNCTION("""COMPUTED_VALUE"""),TRUE)</f>
        <v>1</v>
      </c>
      <c r="H93" s="53"/>
      <c r="I93" s="51"/>
      <c r="J93" s="52"/>
      <c r="K93" s="52"/>
      <c r="L93" s="52"/>
      <c r="M93" s="52" t="b">
        <f ca="1">IFERROR(__xludf.DUMMYFUNCTION("""COMPUTED_VALUE"""),TRUE)</f>
        <v>1</v>
      </c>
      <c r="N93" s="52" t="b">
        <f ca="1">IFERROR(__xludf.DUMMYFUNCTION("""COMPUTED_VALUE"""),TRUE)</f>
        <v>1</v>
      </c>
      <c r="O93" s="52"/>
      <c r="P93" s="52"/>
      <c r="Q93" s="52" t="b">
        <f ca="1">IFERROR(__xludf.DUMMYFUNCTION("""COMPUTED_VALUE"""),TRUE)</f>
        <v>1</v>
      </c>
      <c r="R93" s="53"/>
      <c r="S93" s="100" t="s">
        <v>60</v>
      </c>
      <c r="T93" s="35">
        <f ca="1">IFERROR(__xludf.DUMMYFUNCTION("ArrayFormula(mod(COUNTUNIQUE($C$3:C93),2))"),1)</f>
        <v>1</v>
      </c>
    </row>
    <row r="94" spans="1:20" ht="84">
      <c r="A94" s="30" t="str">
        <f ca="1">IFERROR(__xludf.DUMMYFUNCTION("""COMPUTED_VALUE"""),"Non-GCSE")</f>
        <v>Non-GCSE</v>
      </c>
      <c r="B94" s="30">
        <f ca="1">IFERROR(__xludf.DUMMYFUNCTION("""COMPUTED_VALUE"""),5)</f>
        <v>5</v>
      </c>
      <c r="C94" s="31" t="str">
        <f ca="1">IFERROR(__xludf.DUMMYFUNCTION("""COMPUTED_VALUE"""),"Spreadsheets")</f>
        <v>Spreadsheets</v>
      </c>
      <c r="D94" s="30">
        <f ca="1">IFERROR(__xludf.DUMMYFUNCTION("""COMPUTED_VALUE"""),6)</f>
        <v>6</v>
      </c>
      <c r="E94" s="31" t="str">
        <f ca="1">IFERROR(__xludf.DUMMYFUNCTION("""COMPUTED_VALUE"""),"Demonstrate that skills developed in the lessons can be applied to a different scenario")</f>
        <v>Demonstrate that skills developed in the lessons can be applied to a different scenario</v>
      </c>
      <c r="F94" s="51" t="b">
        <f ca="1">IFERROR(__xludf.DUMMYFUNCTION("""COMPUTED_VALUE"""),TRUE)</f>
        <v>1</v>
      </c>
      <c r="G94" s="52" t="b">
        <f ca="1">IFERROR(__xludf.DUMMYFUNCTION("""COMPUTED_VALUE"""),TRUE)</f>
        <v>1</v>
      </c>
      <c r="H94" s="53"/>
      <c r="I94" s="51"/>
      <c r="J94" s="52"/>
      <c r="K94" s="52"/>
      <c r="L94" s="52" t="b">
        <f ca="1">IFERROR(__xludf.DUMMYFUNCTION("""COMPUTED_VALUE"""),TRUE)</f>
        <v>1</v>
      </c>
      <c r="M94" s="52"/>
      <c r="N94" s="52"/>
      <c r="O94" s="52"/>
      <c r="P94" s="52"/>
      <c r="Q94" s="52"/>
      <c r="R94" s="53"/>
      <c r="S94" s="100" t="s">
        <v>60</v>
      </c>
      <c r="T94" s="35">
        <f ca="1">IFERROR(__xludf.DUMMYFUNCTION("ArrayFormula(mod(COUNTUNIQUE($C$3:C94),2))"),1)</f>
        <v>1</v>
      </c>
    </row>
    <row r="95" spans="1:20" ht="84">
      <c r="A95" s="30" t="str">
        <f ca="1">IFERROR(__xludf.DUMMYFUNCTION("""COMPUTED_VALUE"""),"Non-GCSE")</f>
        <v>Non-GCSE</v>
      </c>
      <c r="B95" s="30">
        <f ca="1">IFERROR(__xludf.DUMMYFUNCTION("""COMPUTED_VALUE"""),5)</f>
        <v>5</v>
      </c>
      <c r="C95" s="31" t="str">
        <f ca="1">IFERROR(__xludf.DUMMYFUNCTION("""COMPUTED_VALUE"""),"Spreadsheets")</f>
        <v>Spreadsheets</v>
      </c>
      <c r="D95" s="30">
        <f ca="1">IFERROR(__xludf.DUMMYFUNCTION("""COMPUTED_VALUE"""),6)</f>
        <v>6</v>
      </c>
      <c r="E95" s="31" t="str">
        <f ca="1">IFERROR(__xludf.DUMMYFUNCTION("""COMPUTED_VALUE"""),"Solve problems using transferable skills")</f>
        <v>Solve problems using transferable skills</v>
      </c>
      <c r="F95" s="51" t="b">
        <f ca="1">IFERROR(__xludf.DUMMYFUNCTION("""COMPUTED_VALUE"""),TRUE)</f>
        <v>1</v>
      </c>
      <c r="G95" s="52" t="b">
        <f ca="1">IFERROR(__xludf.DUMMYFUNCTION("""COMPUTED_VALUE"""),TRUE)</f>
        <v>1</v>
      </c>
      <c r="H95" s="53"/>
      <c r="I95" s="51"/>
      <c r="J95" s="52"/>
      <c r="K95" s="52"/>
      <c r="L95" s="52" t="b">
        <f ca="1">IFERROR(__xludf.DUMMYFUNCTION("""COMPUTED_VALUE"""),TRUE)</f>
        <v>1</v>
      </c>
      <c r="M95" s="52"/>
      <c r="N95" s="52"/>
      <c r="O95" s="52"/>
      <c r="P95" s="52"/>
      <c r="Q95" s="52"/>
      <c r="R95" s="53"/>
      <c r="S95" s="100" t="s">
        <v>60</v>
      </c>
      <c r="T95" s="35">
        <f ca="1">IFERROR(__xludf.DUMMYFUNCTION("ArrayFormula(mod(COUNTUNIQUE($C$3:C95),2))"),1)</f>
        <v>1</v>
      </c>
    </row>
    <row r="96" spans="1:20" ht="84">
      <c r="A96" s="57" t="str">
        <f ca="1">IFERROR(__xludf.DUMMYFUNCTION("""COMPUTED_VALUE"""),"Non-GCSE")</f>
        <v>Non-GCSE</v>
      </c>
      <c r="B96" s="57">
        <f ca="1">IFERROR(__xludf.DUMMYFUNCTION("""COMPUTED_VALUE"""),5)</f>
        <v>5</v>
      </c>
      <c r="C96" s="58" t="str">
        <f ca="1">IFERROR(__xludf.DUMMYFUNCTION("""COMPUTED_VALUE"""),"Spreadsheets")</f>
        <v>Spreadsheets</v>
      </c>
      <c r="D96" s="57">
        <f ca="1">IFERROR(__xludf.DUMMYFUNCTION("""COMPUTED_VALUE"""),6)</f>
        <v>6</v>
      </c>
      <c r="E96" s="58" t="str">
        <f ca="1">IFERROR(__xludf.DUMMYFUNCTION("""COMPUTED_VALUE"""),"Think widely about the uses for and purposes of spreadsheets")</f>
        <v>Think widely about the uses for and purposes of spreadsheets</v>
      </c>
      <c r="F96" s="62" t="b">
        <f ca="1">IFERROR(__xludf.DUMMYFUNCTION("""COMPUTED_VALUE"""),TRUE)</f>
        <v>1</v>
      </c>
      <c r="G96" s="63" t="b">
        <f ca="1">IFERROR(__xludf.DUMMYFUNCTION("""COMPUTED_VALUE"""),TRUE)</f>
        <v>1</v>
      </c>
      <c r="H96" s="61"/>
      <c r="I96" s="62"/>
      <c r="J96" s="63"/>
      <c r="K96" s="63"/>
      <c r="L96" s="63" t="b">
        <f ca="1">IFERROR(__xludf.DUMMYFUNCTION("""COMPUTED_VALUE"""),TRUE)</f>
        <v>1</v>
      </c>
      <c r="M96" s="63" t="b">
        <f ca="1">IFERROR(__xludf.DUMMYFUNCTION("""COMPUTED_VALUE"""),TRUE)</f>
        <v>1</v>
      </c>
      <c r="N96" s="63" t="b">
        <f ca="1">IFERROR(__xludf.DUMMYFUNCTION("""COMPUTED_VALUE"""),TRUE)</f>
        <v>1</v>
      </c>
      <c r="O96" s="63"/>
      <c r="P96" s="63"/>
      <c r="Q96" s="63"/>
      <c r="R96" s="61"/>
      <c r="S96" s="103" t="s">
        <v>60</v>
      </c>
      <c r="T96" s="64">
        <f ca="1">IFERROR(__xludf.DUMMYFUNCTION("ArrayFormula(mod(COUNTUNIQUE($C$3:C96),2))"),1)</f>
        <v>1</v>
      </c>
    </row>
    <row r="97" spans="1:20" ht="84">
      <c r="A97" s="24" t="str">
        <f ca="1">IFERROR(__xludf.DUMMYFUNCTION("""COMPUTED_VALUE"""),"Non-GCSE")</f>
        <v>Non-GCSE</v>
      </c>
      <c r="B97" s="24">
        <f ca="1">IFERROR(__xludf.DUMMYFUNCTION("""COMPUTED_VALUE"""),6)</f>
        <v>6</v>
      </c>
      <c r="C97" s="25" t="str">
        <f ca="1">IFERROR(__xludf.DUMMYFUNCTION("""COMPUTED_VALUE"""),"Using IT in project management")</f>
        <v>Using IT in project management</v>
      </c>
      <c r="D97" s="24">
        <f ca="1">IFERROR(__xludf.DUMMYFUNCTION("""COMPUTED_VALUE"""),1)</f>
        <v>1</v>
      </c>
      <c r="E97" s="25" t="str">
        <f ca="1">IFERROR(__xludf.DUMMYFUNCTION("""COMPUTED_VALUE"""),"Define the term project management")</f>
        <v>Define the term project management</v>
      </c>
      <c r="F97" s="66" t="b">
        <f ca="1">IFERROR(__xludf.DUMMYFUNCTION("""COMPUTED_VALUE"""),TRUE)</f>
        <v>1</v>
      </c>
      <c r="G97" s="67" t="b">
        <f ca="1">IFERROR(__xludf.DUMMYFUNCTION("""COMPUTED_VALUE"""),TRUE)</f>
        <v>1</v>
      </c>
      <c r="H97" s="65"/>
      <c r="I97" s="66"/>
      <c r="J97" s="67"/>
      <c r="K97" s="67"/>
      <c r="L97" s="67" t="b">
        <f ca="1">IFERROR(__xludf.DUMMYFUNCTION("""COMPUTED_VALUE"""),TRUE)</f>
        <v>1</v>
      </c>
      <c r="M97" s="67"/>
      <c r="N97" s="67"/>
      <c r="O97" s="67"/>
      <c r="P97" s="67"/>
      <c r="Q97" s="67"/>
      <c r="R97" s="65"/>
      <c r="S97" s="99" t="s">
        <v>60</v>
      </c>
      <c r="T97" s="29">
        <f ca="1">IFERROR(__xludf.DUMMYFUNCTION("ArrayFormula(mod(COUNTUNIQUE($C$3:C97),2))"),0)</f>
        <v>0</v>
      </c>
    </row>
    <row r="98" spans="1:20" ht="84">
      <c r="A98" s="30" t="str">
        <f ca="1">IFERROR(__xludf.DUMMYFUNCTION("""COMPUTED_VALUE"""),"Non-GCSE")</f>
        <v>Non-GCSE</v>
      </c>
      <c r="B98" s="30">
        <f ca="1">IFERROR(__xludf.DUMMYFUNCTION("""COMPUTED_VALUE"""),6)</f>
        <v>6</v>
      </c>
      <c r="C98" s="31" t="str">
        <f ca="1">IFERROR(__xludf.DUMMYFUNCTION("""COMPUTED_VALUE"""),"Using IT in project management")</f>
        <v>Using IT in project management</v>
      </c>
      <c r="D98" s="30">
        <f ca="1">IFERROR(__xludf.DUMMYFUNCTION("""COMPUTED_VALUE"""),1)</f>
        <v>1</v>
      </c>
      <c r="E98" s="31" t="str">
        <f ca="1">IFERROR(__xludf.DUMMYFUNCTION("""COMPUTED_VALUE"""),"Identify why the use of project management is important")</f>
        <v>Identify why the use of project management is important</v>
      </c>
      <c r="F98" s="51" t="b">
        <f ca="1">IFERROR(__xludf.DUMMYFUNCTION("""COMPUTED_VALUE"""),TRUE)</f>
        <v>1</v>
      </c>
      <c r="G98" s="52" t="b">
        <f ca="1">IFERROR(__xludf.DUMMYFUNCTION("""COMPUTED_VALUE"""),TRUE)</f>
        <v>1</v>
      </c>
      <c r="H98" s="53"/>
      <c r="I98" s="51"/>
      <c r="J98" s="52"/>
      <c r="K98" s="52"/>
      <c r="L98" s="52" t="b">
        <f ca="1">IFERROR(__xludf.DUMMYFUNCTION("""COMPUTED_VALUE"""),TRUE)</f>
        <v>1</v>
      </c>
      <c r="M98" s="52"/>
      <c r="N98" s="52"/>
      <c r="O98" s="52"/>
      <c r="P98" s="52"/>
      <c r="Q98" s="52"/>
      <c r="R98" s="53"/>
      <c r="S98" s="100" t="s">
        <v>60</v>
      </c>
      <c r="T98" s="35">
        <f ca="1">IFERROR(__xludf.DUMMYFUNCTION("ArrayFormula(mod(COUNTUNIQUE($C$3:C98),2))"),0)</f>
        <v>0</v>
      </c>
    </row>
    <row r="99" spans="1:20" ht="84">
      <c r="A99" s="30" t="str">
        <f ca="1">IFERROR(__xludf.DUMMYFUNCTION("""COMPUTED_VALUE"""),"Non-GCSE")</f>
        <v>Non-GCSE</v>
      </c>
      <c r="B99" s="30">
        <f ca="1">IFERROR(__xludf.DUMMYFUNCTION("""COMPUTED_VALUE"""),6)</f>
        <v>6</v>
      </c>
      <c r="C99" s="31" t="str">
        <f ca="1">IFERROR(__xludf.DUMMYFUNCTION("""COMPUTED_VALUE"""),"Using IT in project management")</f>
        <v>Using IT in project management</v>
      </c>
      <c r="D99" s="30">
        <f ca="1">IFERROR(__xludf.DUMMYFUNCTION("""COMPUTED_VALUE"""),1)</f>
        <v>1</v>
      </c>
      <c r="E99" s="31" t="str">
        <f ca="1">IFERROR(__xludf.DUMMYFUNCTION("""COMPUTED_VALUE"""),"Select appropriate project management methodologies")</f>
        <v>Select appropriate project management methodologies</v>
      </c>
      <c r="F99" s="51" t="b">
        <f ca="1">IFERROR(__xludf.DUMMYFUNCTION("""COMPUTED_VALUE"""),TRUE)</f>
        <v>1</v>
      </c>
      <c r="G99" s="52" t="b">
        <f ca="1">IFERROR(__xludf.DUMMYFUNCTION("""COMPUTED_VALUE"""),TRUE)</f>
        <v>1</v>
      </c>
      <c r="H99" s="53"/>
      <c r="I99" s="51"/>
      <c r="J99" s="52"/>
      <c r="K99" s="52"/>
      <c r="L99" s="52" t="b">
        <f ca="1">IFERROR(__xludf.DUMMYFUNCTION("""COMPUTED_VALUE"""),TRUE)</f>
        <v>1</v>
      </c>
      <c r="M99" s="52"/>
      <c r="N99" s="52"/>
      <c r="O99" s="52"/>
      <c r="P99" s="52"/>
      <c r="Q99" s="52"/>
      <c r="R99" s="53"/>
      <c r="S99" s="100" t="s">
        <v>60</v>
      </c>
      <c r="T99" s="35">
        <f ca="1">IFERROR(__xludf.DUMMYFUNCTION("ArrayFormula(mod(COUNTUNIQUE($C$3:C99),2))"),0)</f>
        <v>0</v>
      </c>
    </row>
    <row r="100" spans="1:20" ht="84">
      <c r="A100" s="30" t="str">
        <f ca="1">IFERROR(__xludf.DUMMYFUNCTION("""COMPUTED_VALUE"""),"Non-GCSE")</f>
        <v>Non-GCSE</v>
      </c>
      <c r="B100" s="30">
        <f ca="1">IFERROR(__xludf.DUMMYFUNCTION("""COMPUTED_VALUE"""),6)</f>
        <v>6</v>
      </c>
      <c r="C100" s="31" t="str">
        <f ca="1">IFERROR(__xludf.DUMMYFUNCTION("""COMPUTED_VALUE"""),"Using IT in project management")</f>
        <v>Using IT in project management</v>
      </c>
      <c r="D100" s="30">
        <f ca="1">IFERROR(__xludf.DUMMYFUNCTION("""COMPUTED_VALUE"""),2)</f>
        <v>2</v>
      </c>
      <c r="E100" s="31" t="str">
        <f ca="1">IFERROR(__xludf.DUMMYFUNCTION("""COMPUTED_VALUE"""),"Analyse a project brief")</f>
        <v>Analyse a project brief</v>
      </c>
      <c r="F100" s="51" t="b">
        <f ca="1">IFERROR(__xludf.DUMMYFUNCTION("""COMPUTED_VALUE"""),TRUE)</f>
        <v>1</v>
      </c>
      <c r="G100" s="52" t="b">
        <f ca="1">IFERROR(__xludf.DUMMYFUNCTION("""COMPUTED_VALUE"""),TRUE)</f>
        <v>1</v>
      </c>
      <c r="H100" s="53"/>
      <c r="I100" s="51"/>
      <c r="J100" s="52"/>
      <c r="K100" s="52"/>
      <c r="L100" s="52" t="b">
        <f ca="1">IFERROR(__xludf.DUMMYFUNCTION("""COMPUTED_VALUE"""),TRUE)</f>
        <v>1</v>
      </c>
      <c r="M100" s="52"/>
      <c r="N100" s="52"/>
      <c r="O100" s="52"/>
      <c r="P100" s="52"/>
      <c r="Q100" s="52"/>
      <c r="R100" s="53"/>
      <c r="S100" s="100" t="s">
        <v>60</v>
      </c>
      <c r="T100" s="35">
        <f ca="1">IFERROR(__xludf.DUMMYFUNCTION("ArrayFormula(mod(COUNTUNIQUE($C$3:C100),2))"),0)</f>
        <v>0</v>
      </c>
    </row>
    <row r="101" spans="1:20" ht="84">
      <c r="A101" s="30" t="str">
        <f ca="1">IFERROR(__xludf.DUMMYFUNCTION("""COMPUTED_VALUE"""),"Non-GCSE")</f>
        <v>Non-GCSE</v>
      </c>
      <c r="B101" s="30">
        <f ca="1">IFERROR(__xludf.DUMMYFUNCTION("""COMPUTED_VALUE"""),6)</f>
        <v>6</v>
      </c>
      <c r="C101" s="31" t="str">
        <f ca="1">IFERROR(__xludf.DUMMYFUNCTION("""COMPUTED_VALUE"""),"Using IT in project management")</f>
        <v>Using IT in project management</v>
      </c>
      <c r="D101" s="30">
        <f ca="1">IFERROR(__xludf.DUMMYFUNCTION("""COMPUTED_VALUE"""),2)</f>
        <v>2</v>
      </c>
      <c r="E101" s="31" t="str">
        <f ca="1">IFERROR(__xludf.DUMMYFUNCTION("""COMPUTED_VALUE"""),"Evaluate the constraints of a project")</f>
        <v>Evaluate the constraints of a project</v>
      </c>
      <c r="F101" s="51" t="b">
        <f ca="1">IFERROR(__xludf.DUMMYFUNCTION("""COMPUTED_VALUE"""),TRUE)</f>
        <v>1</v>
      </c>
      <c r="G101" s="52" t="b">
        <f ca="1">IFERROR(__xludf.DUMMYFUNCTION("""COMPUTED_VALUE"""),TRUE)</f>
        <v>1</v>
      </c>
      <c r="H101" s="53"/>
      <c r="I101" s="51"/>
      <c r="J101" s="52"/>
      <c r="K101" s="52"/>
      <c r="L101" s="52" t="b">
        <f ca="1">IFERROR(__xludf.DUMMYFUNCTION("""COMPUTED_VALUE"""),TRUE)</f>
        <v>1</v>
      </c>
      <c r="M101" s="52"/>
      <c r="N101" s="52"/>
      <c r="O101" s="52"/>
      <c r="P101" s="52"/>
      <c r="Q101" s="52"/>
      <c r="R101" s="53"/>
      <c r="S101" s="100" t="s">
        <v>60</v>
      </c>
      <c r="T101" s="35">
        <f ca="1">IFERROR(__xludf.DUMMYFUNCTION("ArrayFormula(mod(COUNTUNIQUE($C$3:C101),2))"),0)</f>
        <v>0</v>
      </c>
    </row>
    <row r="102" spans="1:20" ht="84">
      <c r="A102" s="30" t="str">
        <f ca="1">IFERROR(__xludf.DUMMYFUNCTION("""COMPUTED_VALUE"""),"Non-GCSE")</f>
        <v>Non-GCSE</v>
      </c>
      <c r="B102" s="30">
        <f ca="1">IFERROR(__xludf.DUMMYFUNCTION("""COMPUTED_VALUE"""),6)</f>
        <v>6</v>
      </c>
      <c r="C102" s="31" t="str">
        <f ca="1">IFERROR(__xludf.DUMMYFUNCTION("""COMPUTED_VALUE"""),"Using IT in project management")</f>
        <v>Using IT in project management</v>
      </c>
      <c r="D102" s="30">
        <f ca="1">IFERROR(__xludf.DUMMYFUNCTION("""COMPUTED_VALUE"""),2)</f>
        <v>2</v>
      </c>
      <c r="E102" s="31" t="str">
        <f ca="1">IFERROR(__xludf.DUMMYFUNCTION("""COMPUTED_VALUE"""),"Identify the user requirements of a project")</f>
        <v>Identify the user requirements of a project</v>
      </c>
      <c r="F102" s="51" t="b">
        <f ca="1">IFERROR(__xludf.DUMMYFUNCTION("""COMPUTED_VALUE"""),TRUE)</f>
        <v>1</v>
      </c>
      <c r="G102" s="52" t="b">
        <f ca="1">IFERROR(__xludf.DUMMYFUNCTION("""COMPUTED_VALUE"""),TRUE)</f>
        <v>1</v>
      </c>
      <c r="H102" s="53"/>
      <c r="I102" s="51"/>
      <c r="J102" s="52"/>
      <c r="K102" s="52"/>
      <c r="L102" s="52" t="b">
        <f ca="1">IFERROR(__xludf.DUMMYFUNCTION("""COMPUTED_VALUE"""),TRUE)</f>
        <v>1</v>
      </c>
      <c r="M102" s="52"/>
      <c r="N102" s="52"/>
      <c r="O102" s="52"/>
      <c r="P102" s="52"/>
      <c r="Q102" s="52"/>
      <c r="R102" s="53"/>
      <c r="S102" s="100" t="s">
        <v>60</v>
      </c>
      <c r="T102" s="35">
        <f ca="1">IFERROR(__xludf.DUMMYFUNCTION("ArrayFormula(mod(COUNTUNIQUE($C$3:C102),2))"),0)</f>
        <v>0</v>
      </c>
    </row>
    <row r="103" spans="1:20" ht="84">
      <c r="A103" s="30" t="str">
        <f ca="1">IFERROR(__xludf.DUMMYFUNCTION("""COMPUTED_VALUE"""),"Non-GCSE")</f>
        <v>Non-GCSE</v>
      </c>
      <c r="B103" s="30">
        <f ca="1">IFERROR(__xludf.DUMMYFUNCTION("""COMPUTED_VALUE"""),6)</f>
        <v>6</v>
      </c>
      <c r="C103" s="31" t="str">
        <f ca="1">IFERROR(__xludf.DUMMYFUNCTION("""COMPUTED_VALUE"""),"Using IT in project management")</f>
        <v>Using IT in project management</v>
      </c>
      <c r="D103" s="30">
        <f ca="1">IFERROR(__xludf.DUMMYFUNCTION("""COMPUTED_VALUE"""),3)</f>
        <v>3</v>
      </c>
      <c r="E103" s="31" t="str">
        <f ca="1">IFERROR(__xludf.DUMMYFUNCTION("""COMPUTED_VALUE"""),"Define ‘iteration’ and ‘interaction’")</f>
        <v>Define ‘iteration’ and ‘interaction’</v>
      </c>
      <c r="F103" s="51" t="b">
        <f ca="1">IFERROR(__xludf.DUMMYFUNCTION("""COMPUTED_VALUE"""),TRUE)</f>
        <v>1</v>
      </c>
      <c r="G103" s="52" t="b">
        <f ca="1">IFERROR(__xludf.DUMMYFUNCTION("""COMPUTED_VALUE"""),TRUE)</f>
        <v>1</v>
      </c>
      <c r="H103" s="53"/>
      <c r="I103" s="51"/>
      <c r="J103" s="52"/>
      <c r="K103" s="52"/>
      <c r="L103" s="52" t="b">
        <f ca="1">IFERROR(__xludf.DUMMYFUNCTION("""COMPUTED_VALUE"""),TRUE)</f>
        <v>1</v>
      </c>
      <c r="M103" s="52"/>
      <c r="N103" s="52"/>
      <c r="O103" s="52"/>
      <c r="P103" s="52"/>
      <c r="Q103" s="52"/>
      <c r="R103" s="53"/>
      <c r="S103" s="100" t="s">
        <v>60</v>
      </c>
      <c r="T103" s="35">
        <f ca="1">IFERROR(__xludf.DUMMYFUNCTION("ArrayFormula(mod(COUNTUNIQUE($C$3:C103),2))"),0)</f>
        <v>0</v>
      </c>
    </row>
    <row r="104" spans="1:20" ht="84">
      <c r="A104" s="30" t="str">
        <f ca="1">IFERROR(__xludf.DUMMYFUNCTION("""COMPUTED_VALUE"""),"Non-GCSE")</f>
        <v>Non-GCSE</v>
      </c>
      <c r="B104" s="30">
        <f ca="1">IFERROR(__xludf.DUMMYFUNCTION("""COMPUTED_VALUE"""),6)</f>
        <v>6</v>
      </c>
      <c r="C104" s="31" t="str">
        <f ca="1">IFERROR(__xludf.DUMMYFUNCTION("""COMPUTED_VALUE"""),"Using IT in project management")</f>
        <v>Using IT in project management</v>
      </c>
      <c r="D104" s="30">
        <f ca="1">IFERROR(__xludf.DUMMYFUNCTION("""COMPUTED_VALUE"""),3)</f>
        <v>3</v>
      </c>
      <c r="E104" s="31" t="str">
        <f ca="1">IFERROR(__xludf.DUMMYFUNCTION("""COMPUTED_VALUE"""),"Develop objectives into SMART goals")</f>
        <v>Develop objectives into SMART goals</v>
      </c>
      <c r="F104" s="51" t="b">
        <f ca="1">IFERROR(__xludf.DUMMYFUNCTION("""COMPUTED_VALUE"""),TRUE)</f>
        <v>1</v>
      </c>
      <c r="G104" s="52" t="b">
        <f ca="1">IFERROR(__xludf.DUMMYFUNCTION("""COMPUTED_VALUE"""),TRUE)</f>
        <v>1</v>
      </c>
      <c r="H104" s="53"/>
      <c r="I104" s="51"/>
      <c r="J104" s="52"/>
      <c r="K104" s="52"/>
      <c r="L104" s="52" t="b">
        <f ca="1">IFERROR(__xludf.DUMMYFUNCTION("""COMPUTED_VALUE"""),TRUE)</f>
        <v>1</v>
      </c>
      <c r="M104" s="52"/>
      <c r="N104" s="52"/>
      <c r="O104" s="52"/>
      <c r="P104" s="52"/>
      <c r="Q104" s="52"/>
      <c r="R104" s="53"/>
      <c r="S104" s="100" t="s">
        <v>60</v>
      </c>
      <c r="T104" s="35">
        <f ca="1">IFERROR(__xludf.DUMMYFUNCTION("ArrayFormula(mod(COUNTUNIQUE($C$3:C104),2))"),0)</f>
        <v>0</v>
      </c>
    </row>
    <row r="105" spans="1:20" ht="84">
      <c r="A105" s="30" t="str">
        <f ca="1">IFERROR(__xludf.DUMMYFUNCTION("""COMPUTED_VALUE"""),"Non-GCSE")</f>
        <v>Non-GCSE</v>
      </c>
      <c r="B105" s="30">
        <f ca="1">IFERROR(__xludf.DUMMYFUNCTION("""COMPUTED_VALUE"""),6)</f>
        <v>6</v>
      </c>
      <c r="C105" s="31" t="str">
        <f ca="1">IFERROR(__xludf.DUMMYFUNCTION("""COMPUTED_VALUE"""),"Using IT in project management")</f>
        <v>Using IT in project management</v>
      </c>
      <c r="D105" s="30">
        <f ca="1">IFERROR(__xludf.DUMMYFUNCTION("""COMPUTED_VALUE"""),3)</f>
        <v>3</v>
      </c>
      <c r="E105" s="31" t="str">
        <f ca="1">IFERROR(__xludf.DUMMYFUNCTION("""COMPUTED_VALUE"""),"Identify objectives relating to a project")</f>
        <v>Identify objectives relating to a project</v>
      </c>
      <c r="F105" s="51" t="b">
        <f ca="1">IFERROR(__xludf.DUMMYFUNCTION("""COMPUTED_VALUE"""),TRUE)</f>
        <v>1</v>
      </c>
      <c r="G105" s="52" t="b">
        <f ca="1">IFERROR(__xludf.DUMMYFUNCTION("""COMPUTED_VALUE"""),TRUE)</f>
        <v>1</v>
      </c>
      <c r="H105" s="53"/>
      <c r="I105" s="51"/>
      <c r="J105" s="52"/>
      <c r="K105" s="52"/>
      <c r="L105" s="52" t="b">
        <f ca="1">IFERROR(__xludf.DUMMYFUNCTION("""COMPUTED_VALUE"""),TRUE)</f>
        <v>1</v>
      </c>
      <c r="M105" s="52"/>
      <c r="N105" s="52"/>
      <c r="O105" s="52"/>
      <c r="P105" s="52"/>
      <c r="Q105" s="52"/>
      <c r="R105" s="53"/>
      <c r="S105" s="100" t="s">
        <v>60</v>
      </c>
      <c r="T105" s="35">
        <f ca="1">IFERROR(__xludf.DUMMYFUNCTION("ArrayFormula(mod(COUNTUNIQUE($C$3:C105),2))"),0)</f>
        <v>0</v>
      </c>
    </row>
    <row r="106" spans="1:20" ht="84">
      <c r="A106" s="30" t="str">
        <f ca="1">IFERROR(__xludf.DUMMYFUNCTION("""COMPUTED_VALUE"""),"Non-GCSE")</f>
        <v>Non-GCSE</v>
      </c>
      <c r="B106" s="30">
        <f ca="1">IFERROR(__xludf.DUMMYFUNCTION("""COMPUTED_VALUE"""),6)</f>
        <v>6</v>
      </c>
      <c r="C106" s="31" t="str">
        <f ca="1">IFERROR(__xludf.DUMMYFUNCTION("""COMPUTED_VALUE"""),"Using IT in project management")</f>
        <v>Using IT in project management</v>
      </c>
      <c r="D106" s="30">
        <f ca="1">IFERROR(__xludf.DUMMYFUNCTION("""COMPUTED_VALUE"""),4)</f>
        <v>4</v>
      </c>
      <c r="E106" s="31" t="str">
        <f ca="1">IFERROR(__xludf.DUMMYFUNCTION("""COMPUTED_VALUE"""),"Create a Gantt chart")</f>
        <v>Create a Gantt chart</v>
      </c>
      <c r="F106" s="51" t="b">
        <f ca="1">IFERROR(__xludf.DUMMYFUNCTION("""COMPUTED_VALUE"""),TRUE)</f>
        <v>1</v>
      </c>
      <c r="G106" s="52" t="b">
        <f ca="1">IFERROR(__xludf.DUMMYFUNCTION("""COMPUTED_VALUE"""),TRUE)</f>
        <v>1</v>
      </c>
      <c r="H106" s="53"/>
      <c r="I106" s="51"/>
      <c r="J106" s="52"/>
      <c r="K106" s="52"/>
      <c r="L106" s="52" t="b">
        <f ca="1">IFERROR(__xludf.DUMMYFUNCTION("""COMPUTED_VALUE"""),TRUE)</f>
        <v>1</v>
      </c>
      <c r="M106" s="52"/>
      <c r="N106" s="52" t="b">
        <f ca="1">IFERROR(__xludf.DUMMYFUNCTION("""COMPUTED_VALUE"""),TRUE)</f>
        <v>1</v>
      </c>
      <c r="O106" s="52"/>
      <c r="P106" s="52"/>
      <c r="Q106" s="52"/>
      <c r="R106" s="53"/>
      <c r="S106" s="100" t="s">
        <v>60</v>
      </c>
      <c r="T106" s="35">
        <f ca="1">IFERROR(__xludf.DUMMYFUNCTION("ArrayFormula(mod(COUNTUNIQUE($C$3:C106),2))"),0)</f>
        <v>0</v>
      </c>
    </row>
    <row r="107" spans="1:20" ht="84">
      <c r="A107" s="30" t="str">
        <f ca="1">IFERROR(__xludf.DUMMYFUNCTION("""COMPUTED_VALUE"""),"Non-GCSE")</f>
        <v>Non-GCSE</v>
      </c>
      <c r="B107" s="30">
        <f ca="1">IFERROR(__xludf.DUMMYFUNCTION("""COMPUTED_VALUE"""),6)</f>
        <v>6</v>
      </c>
      <c r="C107" s="31" t="str">
        <f ca="1">IFERROR(__xludf.DUMMYFUNCTION("""COMPUTED_VALUE"""),"Using IT in project management")</f>
        <v>Using IT in project management</v>
      </c>
      <c r="D107" s="30">
        <f ca="1">IFERROR(__xludf.DUMMYFUNCTION("""COMPUTED_VALUE"""),4)</f>
        <v>4</v>
      </c>
      <c r="E107" s="31" t="str">
        <f ca="1">IFERROR(__xludf.DUMMYFUNCTION("""COMPUTED_VALUE"""),"Create a PERT chart")</f>
        <v>Create a PERT chart</v>
      </c>
      <c r="F107" s="51" t="b">
        <f ca="1">IFERROR(__xludf.DUMMYFUNCTION("""COMPUTED_VALUE"""),TRUE)</f>
        <v>1</v>
      </c>
      <c r="G107" s="52" t="b">
        <f ca="1">IFERROR(__xludf.DUMMYFUNCTION("""COMPUTED_VALUE"""),TRUE)</f>
        <v>1</v>
      </c>
      <c r="H107" s="53"/>
      <c r="I107" s="51"/>
      <c r="J107" s="52"/>
      <c r="K107" s="52"/>
      <c r="L107" s="52" t="b">
        <f ca="1">IFERROR(__xludf.DUMMYFUNCTION("""COMPUTED_VALUE"""),TRUE)</f>
        <v>1</v>
      </c>
      <c r="M107" s="52"/>
      <c r="N107" s="52" t="b">
        <f ca="1">IFERROR(__xludf.DUMMYFUNCTION("""COMPUTED_VALUE"""),TRUE)</f>
        <v>1</v>
      </c>
      <c r="O107" s="52"/>
      <c r="P107" s="52"/>
      <c r="Q107" s="52"/>
      <c r="R107" s="53"/>
      <c r="S107" s="100" t="s">
        <v>60</v>
      </c>
      <c r="T107" s="35">
        <f ca="1">IFERROR(__xludf.DUMMYFUNCTION("ArrayFormula(mod(COUNTUNIQUE($C$3:C107),2))"),0)</f>
        <v>0</v>
      </c>
    </row>
    <row r="108" spans="1:20" ht="84">
      <c r="A108" s="30" t="str">
        <f ca="1">IFERROR(__xludf.DUMMYFUNCTION("""COMPUTED_VALUE"""),"Non-GCSE")</f>
        <v>Non-GCSE</v>
      </c>
      <c r="B108" s="30">
        <f ca="1">IFERROR(__xludf.DUMMYFUNCTION("""COMPUTED_VALUE"""),6)</f>
        <v>6</v>
      </c>
      <c r="C108" s="31" t="str">
        <f ca="1">IFERROR(__xludf.DUMMYFUNCTION("""COMPUTED_VALUE"""),"Using IT in project management")</f>
        <v>Using IT in project management</v>
      </c>
      <c r="D108" s="30">
        <f ca="1">IFERROR(__xludf.DUMMYFUNCTION("""COMPUTED_VALUE"""),4)</f>
        <v>4</v>
      </c>
      <c r="E108" s="31" t="str">
        <f ca="1">IFERROR(__xludf.DUMMYFUNCTION("""COMPUTED_VALUE"""),"Evaluate planning tools")</f>
        <v>Evaluate planning tools</v>
      </c>
      <c r="F108" s="51" t="b">
        <f ca="1">IFERROR(__xludf.DUMMYFUNCTION("""COMPUTED_VALUE"""),TRUE)</f>
        <v>1</v>
      </c>
      <c r="G108" s="52" t="b">
        <f ca="1">IFERROR(__xludf.DUMMYFUNCTION("""COMPUTED_VALUE"""),TRUE)</f>
        <v>1</v>
      </c>
      <c r="H108" s="53"/>
      <c r="I108" s="51"/>
      <c r="J108" s="52"/>
      <c r="K108" s="52"/>
      <c r="L108" s="52" t="b">
        <f ca="1">IFERROR(__xludf.DUMMYFUNCTION("""COMPUTED_VALUE"""),TRUE)</f>
        <v>1</v>
      </c>
      <c r="M108" s="52"/>
      <c r="N108" s="52"/>
      <c r="O108" s="52"/>
      <c r="P108" s="52"/>
      <c r="Q108" s="52"/>
      <c r="R108" s="53"/>
      <c r="S108" s="100" t="s">
        <v>60</v>
      </c>
      <c r="T108" s="35">
        <f ca="1">IFERROR(__xludf.DUMMYFUNCTION("ArrayFormula(mod(COUNTUNIQUE($C$3:C108),2))"),0)</f>
        <v>0</v>
      </c>
    </row>
    <row r="109" spans="1:20" ht="84">
      <c r="A109" s="30" t="str">
        <f ca="1">IFERROR(__xludf.DUMMYFUNCTION("""COMPUTED_VALUE"""),"Non-GCSE")</f>
        <v>Non-GCSE</v>
      </c>
      <c r="B109" s="30">
        <f ca="1">IFERROR(__xludf.DUMMYFUNCTION("""COMPUTED_VALUE"""),6)</f>
        <v>6</v>
      </c>
      <c r="C109" s="31" t="str">
        <f ca="1">IFERROR(__xludf.DUMMYFUNCTION("""COMPUTED_VALUE"""),"Using IT in project management")</f>
        <v>Using IT in project management</v>
      </c>
      <c r="D109" s="30">
        <f ca="1">IFERROR(__xludf.DUMMYFUNCTION("""COMPUTED_VALUE"""),5)</f>
        <v>5</v>
      </c>
      <c r="E109" s="31" t="str">
        <f ca="1">IFERROR(__xludf.DUMMYFUNCTION("""COMPUTED_VALUE"""),"Create an appropriate spreadsheet for a project")</f>
        <v>Create an appropriate spreadsheet for a project</v>
      </c>
      <c r="F109" s="51" t="b">
        <f ca="1">IFERROR(__xludf.DUMMYFUNCTION("""COMPUTED_VALUE"""),TRUE)</f>
        <v>1</v>
      </c>
      <c r="G109" s="52" t="b">
        <f ca="1">IFERROR(__xludf.DUMMYFUNCTION("""COMPUTED_VALUE"""),TRUE)</f>
        <v>1</v>
      </c>
      <c r="H109" s="53"/>
      <c r="I109" s="51"/>
      <c r="J109" s="52"/>
      <c r="K109" s="52"/>
      <c r="L109" s="52" t="b">
        <f ca="1">IFERROR(__xludf.DUMMYFUNCTION("""COMPUTED_VALUE"""),TRUE)</f>
        <v>1</v>
      </c>
      <c r="M109" s="52" t="b">
        <f ca="1">IFERROR(__xludf.DUMMYFUNCTION("""COMPUTED_VALUE"""),TRUE)</f>
        <v>1</v>
      </c>
      <c r="N109" s="52" t="b">
        <f ca="1">IFERROR(__xludf.DUMMYFUNCTION("""COMPUTED_VALUE"""),TRUE)</f>
        <v>1</v>
      </c>
      <c r="O109" s="52"/>
      <c r="P109" s="52"/>
      <c r="Q109" s="52"/>
      <c r="R109" s="53"/>
      <c r="S109" s="100" t="s">
        <v>60</v>
      </c>
      <c r="T109" s="35">
        <f ca="1">IFERROR(__xludf.DUMMYFUNCTION("ArrayFormula(mod(COUNTUNIQUE($C$3:C109),2))"),0)</f>
        <v>0</v>
      </c>
    </row>
    <row r="110" spans="1:20" ht="84">
      <c r="A110" s="69" t="str">
        <f ca="1">IFERROR(__xludf.DUMMYFUNCTION("""COMPUTED_VALUE"""),"Non-GCSE")</f>
        <v>Non-GCSE</v>
      </c>
      <c r="B110" s="69">
        <f ca="1">IFERROR(__xludf.DUMMYFUNCTION("""COMPUTED_VALUE"""),6)</f>
        <v>6</v>
      </c>
      <c r="C110" s="70" t="str">
        <f ca="1">IFERROR(__xludf.DUMMYFUNCTION("""COMPUTED_VALUE"""),"Using IT in project management")</f>
        <v>Using IT in project management</v>
      </c>
      <c r="D110" s="69">
        <f ca="1">IFERROR(__xludf.DUMMYFUNCTION("""COMPUTED_VALUE"""),5)</f>
        <v>5</v>
      </c>
      <c r="E110" s="70" t="str">
        <f ca="1">IFERROR(__xludf.DUMMYFUNCTION("""COMPUTED_VALUE"""),"Evaluate a spreadsheet")</f>
        <v>Evaluate a spreadsheet</v>
      </c>
      <c r="F110" s="85" t="b">
        <f ca="1">IFERROR(__xludf.DUMMYFUNCTION("""COMPUTED_VALUE"""),TRUE)</f>
        <v>1</v>
      </c>
      <c r="G110" s="86" t="b">
        <f ca="1">IFERROR(__xludf.DUMMYFUNCTION("""COMPUTED_VALUE"""),TRUE)</f>
        <v>1</v>
      </c>
      <c r="H110" s="87"/>
      <c r="I110" s="85"/>
      <c r="J110" s="86"/>
      <c r="K110" s="86"/>
      <c r="L110" s="86" t="b">
        <f ca="1">IFERROR(__xludf.DUMMYFUNCTION("""COMPUTED_VALUE"""),TRUE)</f>
        <v>1</v>
      </c>
      <c r="M110" s="86"/>
      <c r="N110" s="86" t="b">
        <f ca="1">IFERROR(__xludf.DUMMYFUNCTION("""COMPUTED_VALUE"""),TRUE)</f>
        <v>1</v>
      </c>
      <c r="O110" s="86"/>
      <c r="P110" s="86"/>
      <c r="Q110" s="86"/>
      <c r="R110" s="87"/>
      <c r="S110" s="104" t="s">
        <v>60</v>
      </c>
      <c r="T110" s="74">
        <f ca="1">IFERROR(__xludf.DUMMYFUNCTION("ArrayFormula(mod(COUNTUNIQUE($C$3:C110),2))"),0)</f>
        <v>0</v>
      </c>
    </row>
    <row r="111" spans="1:20" ht="84">
      <c r="A111" s="20" t="str">
        <f ca="1">IFERROR(__xludf.DUMMYFUNCTION("""COMPUTED_VALUE"""),"Non-GCSE")</f>
        <v>Non-GCSE</v>
      </c>
      <c r="B111" s="88">
        <f ca="1">IFERROR(__xludf.DUMMYFUNCTION("""COMPUTED_VALUE"""),6)</f>
        <v>6</v>
      </c>
      <c r="C111" s="90" t="str">
        <f ca="1">IFERROR(__xludf.DUMMYFUNCTION("""COMPUTED_VALUE"""),"Using IT in project management")</f>
        <v>Using IT in project management</v>
      </c>
      <c r="D111" s="94">
        <f ca="1">IFERROR(__xludf.DUMMYFUNCTION("""COMPUTED_VALUE"""),6)</f>
        <v>6</v>
      </c>
      <c r="E111" s="95" t="str">
        <f ca="1">IFERROR(__xludf.DUMMYFUNCTION("""COMPUTED_VALUE"""),"Assess the effectiveness of planning for the visual elements of a project")</f>
        <v>Assess the effectiveness of planning for the visual elements of a project</v>
      </c>
      <c r="F111" s="86" t="b">
        <f ca="1">IFERROR(__xludf.DUMMYFUNCTION("""COMPUTED_VALUE"""),TRUE)</f>
        <v>1</v>
      </c>
      <c r="G111" s="86" t="b">
        <f ca="1">IFERROR(__xludf.DUMMYFUNCTION("""COMPUTED_VALUE"""),TRUE)</f>
        <v>1</v>
      </c>
      <c r="H111" s="87"/>
      <c r="I111" s="51"/>
      <c r="J111" s="52" t="b">
        <f ca="1">IFERROR(__xludf.DUMMYFUNCTION("""COMPUTED_VALUE"""),TRUE)</f>
        <v>1</v>
      </c>
      <c r="K111" s="52"/>
      <c r="L111" s="52" t="b">
        <f ca="1">IFERROR(__xludf.DUMMYFUNCTION("""COMPUTED_VALUE"""),TRUE)</f>
        <v>1</v>
      </c>
      <c r="M111" s="52"/>
      <c r="N111" s="52"/>
      <c r="O111" s="52"/>
      <c r="P111" s="52"/>
      <c r="Q111" s="52"/>
      <c r="R111" s="53"/>
      <c r="S111" s="107" t="s">
        <v>60</v>
      </c>
      <c r="T111" s="23">
        <f ca="1">IFERROR(__xludf.DUMMYFUNCTION("ArrayFormula(mod(COUNTUNIQUE($C$3:C111),2))"),0)</f>
        <v>0</v>
      </c>
    </row>
    <row r="112" spans="1:20" ht="84">
      <c r="A112" s="24" t="str">
        <f ca="1">IFERROR(__xludf.DUMMYFUNCTION("""COMPUTED_VALUE"""),"Non-GCSE")</f>
        <v>Non-GCSE</v>
      </c>
      <c r="B112" s="24">
        <f ca="1">IFERROR(__xludf.DUMMYFUNCTION("""COMPUTED_VALUE"""),6)</f>
        <v>6</v>
      </c>
      <c r="C112" s="25" t="str">
        <f ca="1">IFERROR(__xludf.DUMMYFUNCTION("""COMPUTED_VALUE"""),"Using IT in project management")</f>
        <v>Using IT in project management</v>
      </c>
      <c r="D112" s="24">
        <f ca="1">IFERROR(__xludf.DUMMYFUNCTION("""COMPUTED_VALUE"""),6)</f>
        <v>6</v>
      </c>
      <c r="E112" s="25" t="str">
        <f ca="1">IFERROR(__xludf.DUMMYFUNCTION("""COMPUTED_VALUE"""),"Create visual media")</f>
        <v>Create visual media</v>
      </c>
      <c r="F112" s="66" t="b">
        <f ca="1">IFERROR(__xludf.DUMMYFUNCTION("""COMPUTED_VALUE"""),TRUE)</f>
        <v>1</v>
      </c>
      <c r="G112" s="67" t="b">
        <f ca="1">IFERROR(__xludf.DUMMYFUNCTION("""COMPUTED_VALUE"""),TRUE)</f>
        <v>1</v>
      </c>
      <c r="H112" s="65"/>
      <c r="I112" s="66"/>
      <c r="J112" s="67" t="b">
        <f ca="1">IFERROR(__xludf.DUMMYFUNCTION("""COMPUTED_VALUE"""),TRUE)</f>
        <v>1</v>
      </c>
      <c r="K112" s="67"/>
      <c r="L112" s="67" t="b">
        <f ca="1">IFERROR(__xludf.DUMMYFUNCTION("""COMPUTED_VALUE"""),TRUE)</f>
        <v>1</v>
      </c>
      <c r="M112" s="67"/>
      <c r="N112" s="67"/>
      <c r="O112" s="67"/>
      <c r="P112" s="67"/>
      <c r="Q112" s="67"/>
      <c r="R112" s="65"/>
      <c r="S112" s="99" t="s">
        <v>60</v>
      </c>
      <c r="T112" s="29">
        <f ca="1">IFERROR(__xludf.DUMMYFUNCTION("ArrayFormula(mod(COUNTUNIQUE($C$3:C112),2))"),0)</f>
        <v>0</v>
      </c>
    </row>
    <row r="113" spans="1:20" ht="84">
      <c r="A113" s="30" t="str">
        <f ca="1">IFERROR(__xludf.DUMMYFUNCTION("""COMPUTED_VALUE"""),"Non-GCSE")</f>
        <v>Non-GCSE</v>
      </c>
      <c r="B113" s="30">
        <f ca="1">IFERROR(__xludf.DUMMYFUNCTION("""COMPUTED_VALUE"""),6)</f>
        <v>6</v>
      </c>
      <c r="C113" s="31" t="str">
        <f ca="1">IFERROR(__xludf.DUMMYFUNCTION("""COMPUTED_VALUE"""),"Using IT in project management")</f>
        <v>Using IT in project management</v>
      </c>
      <c r="D113" s="30">
        <f ca="1">IFERROR(__xludf.DUMMYFUNCTION("""COMPUTED_VALUE"""),6)</f>
        <v>6</v>
      </c>
      <c r="E113" s="31" t="str">
        <f ca="1">IFERROR(__xludf.DUMMYFUNCTION("""COMPUTED_VALUE"""),"Follow a design plan")</f>
        <v>Follow a design plan</v>
      </c>
      <c r="F113" s="51" t="b">
        <f ca="1">IFERROR(__xludf.DUMMYFUNCTION("""COMPUTED_VALUE"""),TRUE)</f>
        <v>1</v>
      </c>
      <c r="G113" s="52" t="b">
        <f ca="1">IFERROR(__xludf.DUMMYFUNCTION("""COMPUTED_VALUE"""),TRUE)</f>
        <v>1</v>
      </c>
      <c r="H113" s="53"/>
      <c r="I113" s="51"/>
      <c r="J113" s="52"/>
      <c r="K113" s="52"/>
      <c r="L113" s="52" t="b">
        <f ca="1">IFERROR(__xludf.DUMMYFUNCTION("""COMPUTED_VALUE"""),TRUE)</f>
        <v>1</v>
      </c>
      <c r="M113" s="52"/>
      <c r="N113" s="52"/>
      <c r="O113" s="52"/>
      <c r="P113" s="52"/>
      <c r="Q113" s="52"/>
      <c r="R113" s="53"/>
      <c r="S113" s="100" t="s">
        <v>60</v>
      </c>
      <c r="T113" s="35">
        <f ca="1">IFERROR(__xludf.DUMMYFUNCTION("ArrayFormula(mod(COUNTUNIQUE($C$3:C113),2))"),0)</f>
        <v>0</v>
      </c>
    </row>
    <row r="114" spans="1:20" ht="84">
      <c r="A114" s="30" t="str">
        <f ca="1">IFERROR(__xludf.DUMMYFUNCTION("""COMPUTED_VALUE"""),"Non-GCSE")</f>
        <v>Non-GCSE</v>
      </c>
      <c r="B114" s="30">
        <f ca="1">IFERROR(__xludf.DUMMYFUNCTION("""COMPUTED_VALUE"""),6)</f>
        <v>6</v>
      </c>
      <c r="C114" s="31" t="str">
        <f ca="1">IFERROR(__xludf.DUMMYFUNCTION("""COMPUTED_VALUE"""),"Using IT in project management")</f>
        <v>Using IT in project management</v>
      </c>
      <c r="D114" s="30">
        <f ca="1">IFERROR(__xludf.DUMMYFUNCTION("""COMPUTED_VALUE"""),7)</f>
        <v>7</v>
      </c>
      <c r="E114" s="31" t="str">
        <f ca="1">IFERROR(__xludf.DUMMYFUNCTION("""COMPUTED_VALUE"""),"Evaluate the overall success of a completed project")</f>
        <v>Evaluate the overall success of a completed project</v>
      </c>
      <c r="F114" s="51" t="b">
        <f ca="1">IFERROR(__xludf.DUMMYFUNCTION("""COMPUTED_VALUE"""),TRUE)</f>
        <v>1</v>
      </c>
      <c r="G114" s="52" t="b">
        <f ca="1">IFERROR(__xludf.DUMMYFUNCTION("""COMPUTED_VALUE"""),TRUE)</f>
        <v>1</v>
      </c>
      <c r="H114" s="53"/>
      <c r="I114" s="51"/>
      <c r="J114" s="52"/>
      <c r="K114" s="52"/>
      <c r="L114" s="52" t="b">
        <f ca="1">IFERROR(__xludf.DUMMYFUNCTION("""COMPUTED_VALUE"""),TRUE)</f>
        <v>1</v>
      </c>
      <c r="M114" s="52"/>
      <c r="N114" s="52"/>
      <c r="O114" s="52"/>
      <c r="P114" s="52"/>
      <c r="Q114" s="52"/>
      <c r="R114" s="53"/>
      <c r="S114" s="100" t="s">
        <v>60</v>
      </c>
      <c r="T114" s="35">
        <f ca="1">IFERROR(__xludf.DUMMYFUNCTION("ArrayFormula(mod(COUNTUNIQUE($C$3:C114),2))"),0)</f>
        <v>0</v>
      </c>
    </row>
    <row r="115" spans="1:20" ht="84">
      <c r="A115" s="36" t="str">
        <f ca="1">IFERROR(__xludf.DUMMYFUNCTION("""COMPUTED_VALUE"""),"Non-GCSE")</f>
        <v>Non-GCSE</v>
      </c>
      <c r="B115" s="36">
        <f ca="1">IFERROR(__xludf.DUMMYFUNCTION("""COMPUTED_VALUE"""),6)</f>
        <v>6</v>
      </c>
      <c r="C115" s="37" t="str">
        <f ca="1">IFERROR(__xludf.DUMMYFUNCTION("""COMPUTED_VALUE"""),"Using IT in project management")</f>
        <v>Using IT in project management</v>
      </c>
      <c r="D115" s="36">
        <f ca="1">IFERROR(__xludf.DUMMYFUNCTION("""COMPUTED_VALUE"""),7)</f>
        <v>7</v>
      </c>
      <c r="E115" s="37" t="str">
        <f ca="1">IFERROR(__xludf.DUMMYFUNCTION("""COMPUTED_VALUE"""),"Test the effectiveness of developed products")</f>
        <v>Test the effectiveness of developed products</v>
      </c>
      <c r="F115" s="55" t="b">
        <f ca="1">IFERROR(__xludf.DUMMYFUNCTION("""COMPUTED_VALUE"""),TRUE)</f>
        <v>1</v>
      </c>
      <c r="G115" s="56" t="b">
        <f ca="1">IFERROR(__xludf.DUMMYFUNCTION("""COMPUTED_VALUE"""),TRUE)</f>
        <v>1</v>
      </c>
      <c r="H115" s="54"/>
      <c r="I115" s="55"/>
      <c r="J115" s="56"/>
      <c r="K115" s="56"/>
      <c r="L115" s="56" t="b">
        <f ca="1">IFERROR(__xludf.DUMMYFUNCTION("""COMPUTED_VALUE"""),TRUE)</f>
        <v>1</v>
      </c>
      <c r="M115" s="56"/>
      <c r="N115" s="56"/>
      <c r="O115" s="56"/>
      <c r="P115" s="56"/>
      <c r="Q115" s="56"/>
      <c r="R115" s="54"/>
      <c r="S115" s="101" t="s">
        <v>60</v>
      </c>
      <c r="T115" s="41">
        <f ca="1">IFERROR(__xludf.DUMMYFUNCTION("ArrayFormula(mod(COUNTUNIQUE($C$3:C115),2))"),0)</f>
        <v>0</v>
      </c>
    </row>
    <row r="116" spans="1:20" ht="28">
      <c r="A116" s="42" t="str">
        <f ca="1">IFERROR(__xludf.DUMMYFUNCTION("""COMPUTED_VALUE"""),"Non-GCSE")</f>
        <v>Non-GCSE</v>
      </c>
      <c r="B116" s="42">
        <f ca="1">IFERROR(__xludf.DUMMYFUNCTION("""COMPUTED_VALUE"""),6)</f>
        <v>6</v>
      </c>
      <c r="C116" s="43" t="str">
        <f ca="1">IFERROR(__xludf.DUMMYFUNCTION("""COMPUTED_VALUE"""),"Using IT in project management")</f>
        <v>Using IT in project management</v>
      </c>
      <c r="D116" s="42">
        <f ca="1">IFERROR(__xludf.DUMMYFUNCTION("""COMPUTED_VALUE"""),8)</f>
        <v>8</v>
      </c>
      <c r="E116" s="43" t="str">
        <f ca="1">IFERROR(__xludf.DUMMYFUNCTION("""COMPUTED_VALUE"""),"Develop documentation for the first stage of a project")</f>
        <v>Develop documentation for the first stage of a project</v>
      </c>
      <c r="F116" s="44" t="b">
        <f ca="1">IFERROR(__xludf.DUMMYFUNCTION("""COMPUTED_VALUE"""),TRUE)</f>
        <v>1</v>
      </c>
      <c r="G116" s="45" t="b">
        <f ca="1">IFERROR(__xludf.DUMMYFUNCTION("""COMPUTED_VALUE"""),TRUE)</f>
        <v>1</v>
      </c>
      <c r="H116" s="46"/>
      <c r="I116" s="44"/>
      <c r="J116" s="45"/>
      <c r="K116" s="45"/>
      <c r="L116" s="45" t="b">
        <f ca="1">IFERROR(__xludf.DUMMYFUNCTION("""COMPUTED_VALUE"""),TRUE)</f>
        <v>1</v>
      </c>
      <c r="M116" s="45"/>
      <c r="N116" s="45"/>
      <c r="O116" s="45"/>
      <c r="P116" s="45"/>
      <c r="Q116" s="45"/>
      <c r="R116" s="46"/>
      <c r="S116" s="102"/>
      <c r="T116" s="47">
        <f ca="1">IFERROR(__xludf.DUMMYFUNCTION("ArrayFormula(mod(COUNTUNIQUE($C$3:C116),2))"),0)</f>
        <v>0</v>
      </c>
    </row>
    <row r="117" spans="1:20" ht="28">
      <c r="A117" s="30" t="str">
        <f ca="1">IFERROR(__xludf.DUMMYFUNCTION("""COMPUTED_VALUE"""),"Non-GCSE")</f>
        <v>Non-GCSE</v>
      </c>
      <c r="B117" s="30">
        <f ca="1">IFERROR(__xludf.DUMMYFUNCTION("""COMPUTED_VALUE"""),6)</f>
        <v>6</v>
      </c>
      <c r="C117" s="31" t="str">
        <f ca="1">IFERROR(__xludf.DUMMYFUNCTION("""COMPUTED_VALUE"""),"Using IT in project management")</f>
        <v>Using IT in project management</v>
      </c>
      <c r="D117" s="30">
        <f ca="1">IFERROR(__xludf.DUMMYFUNCTION("""COMPUTED_VALUE"""),8)</f>
        <v>8</v>
      </c>
      <c r="E117" s="31" t="str">
        <f ca="1">IFERROR(__xludf.DUMMYFUNCTION("""COMPUTED_VALUE"""),"Evaluate the constraints of a project")</f>
        <v>Evaluate the constraints of a project</v>
      </c>
      <c r="F117" s="32" t="b">
        <f ca="1">IFERROR(__xludf.DUMMYFUNCTION("""COMPUTED_VALUE"""),TRUE)</f>
        <v>1</v>
      </c>
      <c r="G117" s="33" t="b">
        <f ca="1">IFERROR(__xludf.DUMMYFUNCTION("""COMPUTED_VALUE"""),TRUE)</f>
        <v>1</v>
      </c>
      <c r="H117" s="34"/>
      <c r="I117" s="32"/>
      <c r="J117" s="33"/>
      <c r="K117" s="33"/>
      <c r="L117" s="33" t="b">
        <f ca="1">IFERROR(__xludf.DUMMYFUNCTION("""COMPUTED_VALUE"""),TRUE)</f>
        <v>1</v>
      </c>
      <c r="M117" s="33"/>
      <c r="N117" s="33"/>
      <c r="O117" s="33"/>
      <c r="P117" s="33"/>
      <c r="Q117" s="33"/>
      <c r="R117" s="34"/>
      <c r="S117" s="100"/>
      <c r="T117" s="35">
        <f ca="1">IFERROR(__xludf.DUMMYFUNCTION("ArrayFormula(mod(COUNTUNIQUE($C$3:C117),2))"),0)</f>
        <v>0</v>
      </c>
    </row>
    <row r="118" spans="1:20" ht="28">
      <c r="A118" s="30" t="str">
        <f ca="1">IFERROR(__xludf.DUMMYFUNCTION("""COMPUTED_VALUE"""),"Non-GCSE")</f>
        <v>Non-GCSE</v>
      </c>
      <c r="B118" s="30">
        <f ca="1">IFERROR(__xludf.DUMMYFUNCTION("""COMPUTED_VALUE"""),6)</f>
        <v>6</v>
      </c>
      <c r="C118" s="31" t="str">
        <f ca="1">IFERROR(__xludf.DUMMYFUNCTION("""COMPUTED_VALUE"""),"Using IT in project management")</f>
        <v>Using IT in project management</v>
      </c>
      <c r="D118" s="30">
        <f ca="1">IFERROR(__xludf.DUMMYFUNCTION("""COMPUTED_VALUE"""),8)</f>
        <v>8</v>
      </c>
      <c r="E118" s="31" t="str">
        <f ca="1">IFERROR(__xludf.DUMMYFUNCTION("""COMPUTED_VALUE"""),"Identify the user requirements of a project")</f>
        <v>Identify the user requirements of a project</v>
      </c>
      <c r="F118" s="32" t="b">
        <f ca="1">IFERROR(__xludf.DUMMYFUNCTION("""COMPUTED_VALUE"""),TRUE)</f>
        <v>1</v>
      </c>
      <c r="G118" s="33" t="b">
        <f ca="1">IFERROR(__xludf.DUMMYFUNCTION("""COMPUTED_VALUE"""),TRUE)</f>
        <v>1</v>
      </c>
      <c r="H118" s="34"/>
      <c r="I118" s="32"/>
      <c r="J118" s="33"/>
      <c r="K118" s="33"/>
      <c r="L118" s="33" t="b">
        <f ca="1">IFERROR(__xludf.DUMMYFUNCTION("""COMPUTED_VALUE"""),TRUE)</f>
        <v>1</v>
      </c>
      <c r="M118" s="33"/>
      <c r="N118" s="33"/>
      <c r="O118" s="33"/>
      <c r="P118" s="33"/>
      <c r="Q118" s="33"/>
      <c r="R118" s="34"/>
      <c r="S118" s="100"/>
      <c r="T118" s="35">
        <f ca="1">IFERROR(__xludf.DUMMYFUNCTION("ArrayFormula(mod(COUNTUNIQUE($C$3:C118),2))"),0)</f>
        <v>0</v>
      </c>
    </row>
    <row r="119" spans="1:20" ht="28">
      <c r="A119" s="30" t="str">
        <f ca="1">IFERROR(__xludf.DUMMYFUNCTION("""COMPUTED_VALUE"""),"Non-GCSE")</f>
        <v>Non-GCSE</v>
      </c>
      <c r="B119" s="30">
        <f ca="1">IFERROR(__xludf.DUMMYFUNCTION("""COMPUTED_VALUE"""),6)</f>
        <v>6</v>
      </c>
      <c r="C119" s="31" t="str">
        <f ca="1">IFERROR(__xludf.DUMMYFUNCTION("""COMPUTED_VALUE"""),"Using IT in project management")</f>
        <v>Using IT in project management</v>
      </c>
      <c r="D119" s="30">
        <f ca="1">IFERROR(__xludf.DUMMYFUNCTION("""COMPUTED_VALUE"""),9)</f>
        <v>9</v>
      </c>
      <c r="E119" s="31" t="str">
        <f ca="1">IFERROR(__xludf.DUMMYFUNCTION("""COMPUTED_VALUE"""),"Create planning documents for a project")</f>
        <v>Create planning documents for a project</v>
      </c>
      <c r="F119" s="32" t="b">
        <f ca="1">IFERROR(__xludf.DUMMYFUNCTION("""COMPUTED_VALUE"""),TRUE)</f>
        <v>1</v>
      </c>
      <c r="G119" s="33" t="b">
        <f ca="1">IFERROR(__xludf.DUMMYFUNCTION("""COMPUTED_VALUE"""),TRUE)</f>
        <v>1</v>
      </c>
      <c r="H119" s="34"/>
      <c r="I119" s="32"/>
      <c r="J119" s="33"/>
      <c r="K119" s="33"/>
      <c r="L119" s="33" t="b">
        <f ca="1">IFERROR(__xludf.DUMMYFUNCTION("""COMPUTED_VALUE"""),TRUE)</f>
        <v>1</v>
      </c>
      <c r="M119" s="33"/>
      <c r="N119" s="33"/>
      <c r="O119" s="33"/>
      <c r="P119" s="33"/>
      <c r="Q119" s="33"/>
      <c r="R119" s="34"/>
      <c r="S119" s="100"/>
      <c r="T119" s="35">
        <f ca="1">IFERROR(__xludf.DUMMYFUNCTION("ArrayFormula(mod(COUNTUNIQUE($C$3:C119),2))"),0)</f>
        <v>0</v>
      </c>
    </row>
    <row r="120" spans="1:20" ht="28">
      <c r="A120" s="30" t="str">
        <f ca="1">IFERROR(__xludf.DUMMYFUNCTION("""COMPUTED_VALUE"""),"Non-GCSE")</f>
        <v>Non-GCSE</v>
      </c>
      <c r="B120" s="30">
        <f ca="1">IFERROR(__xludf.DUMMYFUNCTION("""COMPUTED_VALUE"""),6)</f>
        <v>6</v>
      </c>
      <c r="C120" s="31" t="str">
        <f ca="1">IFERROR(__xludf.DUMMYFUNCTION("""COMPUTED_VALUE"""),"Using IT in project management")</f>
        <v>Using IT in project management</v>
      </c>
      <c r="D120" s="30">
        <f ca="1">IFERROR(__xludf.DUMMYFUNCTION("""COMPUTED_VALUE"""),9)</f>
        <v>9</v>
      </c>
      <c r="E120" s="31" t="str">
        <f ca="1">IFERROR(__xludf.DUMMYFUNCTION("""COMPUTED_VALUE"""),"Create project products")</f>
        <v>Create project products</v>
      </c>
      <c r="F120" s="32" t="b">
        <f ca="1">IFERROR(__xludf.DUMMYFUNCTION("""COMPUTED_VALUE"""),TRUE)</f>
        <v>1</v>
      </c>
      <c r="G120" s="33" t="b">
        <f ca="1">IFERROR(__xludf.DUMMYFUNCTION("""COMPUTED_VALUE"""),TRUE)</f>
        <v>1</v>
      </c>
      <c r="H120" s="34"/>
      <c r="I120" s="32"/>
      <c r="J120" s="33"/>
      <c r="K120" s="33"/>
      <c r="L120" s="33" t="b">
        <f ca="1">IFERROR(__xludf.DUMMYFUNCTION("""COMPUTED_VALUE"""),TRUE)</f>
        <v>1</v>
      </c>
      <c r="M120" s="33"/>
      <c r="N120" s="33"/>
      <c r="O120" s="33"/>
      <c r="P120" s="33"/>
      <c r="Q120" s="33"/>
      <c r="R120" s="34"/>
      <c r="S120" s="100"/>
      <c r="T120" s="35">
        <f ca="1">IFERROR(__xludf.DUMMYFUNCTION("ArrayFormula(mod(COUNTUNIQUE($C$3:C120),2))"),0)</f>
        <v>0</v>
      </c>
    </row>
    <row r="121" spans="1:20" ht="28">
      <c r="A121" s="30" t="str">
        <f ca="1">IFERROR(__xludf.DUMMYFUNCTION("""COMPUTED_VALUE"""),"Non-GCSE")</f>
        <v>Non-GCSE</v>
      </c>
      <c r="B121" s="30">
        <f ca="1">IFERROR(__xludf.DUMMYFUNCTION("""COMPUTED_VALUE"""),6)</f>
        <v>6</v>
      </c>
      <c r="C121" s="31" t="str">
        <f ca="1">IFERROR(__xludf.DUMMYFUNCTION("""COMPUTED_VALUE"""),"Using IT in project management")</f>
        <v>Using IT in project management</v>
      </c>
      <c r="D121" s="30">
        <f ca="1">IFERROR(__xludf.DUMMYFUNCTION("""COMPUTED_VALUE"""),9)</f>
        <v>9</v>
      </c>
      <c r="E121" s="31" t="str">
        <f ca="1">IFERROR(__xludf.DUMMYFUNCTION("""COMPUTED_VALUE"""),"Develop testing documentation")</f>
        <v>Develop testing documentation</v>
      </c>
      <c r="F121" s="32" t="b">
        <f ca="1">IFERROR(__xludf.DUMMYFUNCTION("""COMPUTED_VALUE"""),TRUE)</f>
        <v>1</v>
      </c>
      <c r="G121" s="33" t="b">
        <f ca="1">IFERROR(__xludf.DUMMYFUNCTION("""COMPUTED_VALUE"""),TRUE)</f>
        <v>1</v>
      </c>
      <c r="H121" s="34"/>
      <c r="I121" s="32"/>
      <c r="J121" s="33"/>
      <c r="K121" s="33"/>
      <c r="L121" s="33" t="b">
        <f ca="1">IFERROR(__xludf.DUMMYFUNCTION("""COMPUTED_VALUE"""),TRUE)</f>
        <v>1</v>
      </c>
      <c r="M121" s="33"/>
      <c r="N121" s="33"/>
      <c r="O121" s="33"/>
      <c r="P121" s="33"/>
      <c r="Q121" s="33"/>
      <c r="R121" s="34"/>
      <c r="S121" s="100"/>
      <c r="T121" s="35">
        <f ca="1">IFERROR(__xludf.DUMMYFUNCTION("ArrayFormula(mod(COUNTUNIQUE($C$3:C121),2))"),0)</f>
        <v>0</v>
      </c>
    </row>
    <row r="122" spans="1:20" ht="28">
      <c r="A122" s="57" t="str">
        <f ca="1">IFERROR(__xludf.DUMMYFUNCTION("""COMPUTED_VALUE"""),"Non-GCSE")</f>
        <v>Non-GCSE</v>
      </c>
      <c r="B122" s="57">
        <f ca="1">IFERROR(__xludf.DUMMYFUNCTION("""COMPUTED_VALUE"""),6)</f>
        <v>6</v>
      </c>
      <c r="C122" s="58" t="str">
        <f ca="1">IFERROR(__xludf.DUMMYFUNCTION("""COMPUTED_VALUE"""),"Using IT in project management")</f>
        <v>Using IT in project management</v>
      </c>
      <c r="D122" s="57">
        <f ca="1">IFERROR(__xludf.DUMMYFUNCTION("""COMPUTED_VALUE"""),10)</f>
        <v>10</v>
      </c>
      <c r="E122" s="58" t="str">
        <f ca="1">IFERROR(__xludf.DUMMYFUNCTION("""COMPUTED_VALUE"""),"Evaluate a completed project")</f>
        <v>Evaluate a completed project</v>
      </c>
      <c r="F122" s="59" t="b">
        <f ca="1">IFERROR(__xludf.DUMMYFUNCTION("""COMPUTED_VALUE"""),TRUE)</f>
        <v>1</v>
      </c>
      <c r="G122" s="60" t="b">
        <f ca="1">IFERROR(__xludf.DUMMYFUNCTION("""COMPUTED_VALUE"""),TRUE)</f>
        <v>1</v>
      </c>
      <c r="H122" s="68"/>
      <c r="I122" s="59"/>
      <c r="J122" s="60"/>
      <c r="K122" s="60"/>
      <c r="L122" s="60" t="b">
        <f ca="1">IFERROR(__xludf.DUMMYFUNCTION("""COMPUTED_VALUE"""),TRUE)</f>
        <v>1</v>
      </c>
      <c r="M122" s="60"/>
      <c r="N122" s="60"/>
      <c r="O122" s="60"/>
      <c r="P122" s="60"/>
      <c r="Q122" s="60"/>
      <c r="R122" s="68"/>
      <c r="S122" s="103"/>
      <c r="T122" s="64">
        <f ca="1">IFERROR(__xludf.DUMMYFUNCTION("ArrayFormula(mod(COUNTUNIQUE($C$3:C122),2))"),0)</f>
        <v>0</v>
      </c>
    </row>
  </sheetData>
  <autoFilter ref="A2:S122" xr:uid="{00000000-0009-0000-0000-000007000000}">
    <sortState xmlns:xlrd2="http://schemas.microsoft.com/office/spreadsheetml/2017/richdata2" ref="A2:S122">
      <sortCondition ref="B2:B122"/>
      <sortCondition ref="A2:A122"/>
    </sortState>
  </autoFilter>
  <mergeCells count="2">
    <mergeCell ref="F1:H1"/>
    <mergeCell ref="I1:R1"/>
  </mergeCells>
  <conditionalFormatting sqref="F3:H122 I3">
    <cfRule type="cellIs" dxfId="5" priority="1" operator="equal">
      <formula>TRUE</formula>
    </cfRule>
  </conditionalFormatting>
  <conditionalFormatting sqref="I3:R122">
    <cfRule type="cellIs" dxfId="4" priority="2" operator="equal">
      <formula>TRUE</formula>
    </cfRule>
  </conditionalFormatting>
  <conditionalFormatting sqref="A3:T122">
    <cfRule type="expression" dxfId="3" priority="3">
      <formula>$T3=1</formula>
    </cfRule>
  </conditionalFormatting>
  <conditionalFormatting sqref="A3:T122">
    <cfRule type="expression" dxfId="2" priority="4">
      <formula>$T3=0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78"/>
  <sheetViews>
    <sheetView workbookViewId="0"/>
  </sheetViews>
  <sheetFormatPr baseColWidth="10" defaultColWidth="12.6640625" defaultRowHeight="15.75" customHeight="1"/>
  <sheetData>
    <row r="1" spans="1:9" ht="15.75" customHeight="1">
      <c r="A1" s="96" t="s">
        <v>69</v>
      </c>
      <c r="B1" s="96" t="s">
        <v>70</v>
      </c>
      <c r="C1" s="96" t="s">
        <v>71</v>
      </c>
      <c r="D1" s="96" t="s">
        <v>72</v>
      </c>
      <c r="E1" s="96" t="s">
        <v>73</v>
      </c>
      <c r="F1" s="96" t="s">
        <v>74</v>
      </c>
      <c r="G1" s="96" t="s">
        <v>74</v>
      </c>
      <c r="H1" s="96" t="s">
        <v>74</v>
      </c>
      <c r="I1" s="96" t="s">
        <v>74</v>
      </c>
    </row>
    <row r="2" spans="1:9" ht="15.75" customHeight="1">
      <c r="A2" s="96">
        <v>1</v>
      </c>
      <c r="B2" s="96">
        <v>1</v>
      </c>
      <c r="C2" s="96" t="s">
        <v>75</v>
      </c>
      <c r="D2" s="96">
        <v>1</v>
      </c>
      <c r="E2" s="96" t="s">
        <v>76</v>
      </c>
      <c r="F2" s="96" t="s">
        <v>77</v>
      </c>
      <c r="G2" s="96" t="s">
        <v>78</v>
      </c>
      <c r="H2" s="96" t="s">
        <v>79</v>
      </c>
      <c r="I2" s="96" t="s">
        <v>49</v>
      </c>
    </row>
    <row r="3" spans="1:9" ht="15.75" customHeight="1">
      <c r="A3" s="96">
        <v>1</v>
      </c>
      <c r="B3" s="96">
        <v>1</v>
      </c>
      <c r="C3" s="96" t="s">
        <v>75</v>
      </c>
      <c r="D3" s="96">
        <v>2</v>
      </c>
      <c r="E3" s="96" t="s">
        <v>80</v>
      </c>
      <c r="F3" s="96" t="s">
        <v>81</v>
      </c>
      <c r="G3" s="96" t="s">
        <v>78</v>
      </c>
      <c r="H3" s="96" t="s">
        <v>18</v>
      </c>
      <c r="I3" s="96" t="s">
        <v>49</v>
      </c>
    </row>
    <row r="4" spans="1:9" ht="15.75" customHeight="1">
      <c r="A4" s="96">
        <v>1</v>
      </c>
      <c r="B4" s="96">
        <v>1</v>
      </c>
      <c r="C4" s="96" t="s">
        <v>75</v>
      </c>
      <c r="D4" s="96">
        <v>3</v>
      </c>
      <c r="E4" s="96" t="s">
        <v>82</v>
      </c>
      <c r="F4" s="96" t="s">
        <v>83</v>
      </c>
      <c r="G4" s="96" t="s">
        <v>78</v>
      </c>
      <c r="H4" s="96" t="s">
        <v>84</v>
      </c>
      <c r="I4" s="96" t="s">
        <v>49</v>
      </c>
    </row>
    <row r="5" spans="1:9" ht="15.75" customHeight="1">
      <c r="A5" s="96">
        <v>1</v>
      </c>
      <c r="B5" s="96">
        <v>1</v>
      </c>
      <c r="C5" s="96" t="s">
        <v>75</v>
      </c>
      <c r="D5" s="96">
        <v>4</v>
      </c>
      <c r="E5" s="96" t="s">
        <v>85</v>
      </c>
      <c r="F5" s="96" t="s">
        <v>86</v>
      </c>
      <c r="G5" s="96" t="s">
        <v>78</v>
      </c>
      <c r="H5" s="96" t="s">
        <v>84</v>
      </c>
      <c r="I5" s="96" t="s">
        <v>49</v>
      </c>
    </row>
    <row r="6" spans="1:9" ht="15.75" customHeight="1">
      <c r="A6" s="96">
        <v>1</v>
      </c>
      <c r="B6" s="96">
        <v>1</v>
      </c>
      <c r="C6" s="96" t="s">
        <v>75</v>
      </c>
      <c r="D6" s="96">
        <v>5</v>
      </c>
      <c r="E6" s="96" t="s">
        <v>87</v>
      </c>
      <c r="F6" s="96" t="s">
        <v>88</v>
      </c>
      <c r="G6" s="96" t="s">
        <v>78</v>
      </c>
      <c r="H6" s="96" t="s">
        <v>84</v>
      </c>
      <c r="I6" s="96" t="s">
        <v>49</v>
      </c>
    </row>
    <row r="7" spans="1:9" ht="15.75" customHeight="1">
      <c r="A7" s="96">
        <v>1</v>
      </c>
      <c r="B7" s="96">
        <v>1</v>
      </c>
      <c r="C7" s="96" t="s">
        <v>75</v>
      </c>
      <c r="D7" s="96">
        <v>6</v>
      </c>
      <c r="E7" s="96" t="s">
        <v>89</v>
      </c>
      <c r="F7" s="96" t="s">
        <v>90</v>
      </c>
      <c r="G7" s="96" t="s">
        <v>78</v>
      </c>
      <c r="H7" s="96" t="s">
        <v>91</v>
      </c>
      <c r="I7" s="96" t="s">
        <v>49</v>
      </c>
    </row>
    <row r="8" spans="1:9" ht="15.75" customHeight="1">
      <c r="A8" s="96">
        <v>1</v>
      </c>
      <c r="B8" s="96">
        <v>1</v>
      </c>
      <c r="C8" s="96" t="s">
        <v>92</v>
      </c>
      <c r="D8" s="96">
        <v>1</v>
      </c>
      <c r="E8" s="96" t="s">
        <v>93</v>
      </c>
      <c r="F8" s="96" t="s">
        <v>94</v>
      </c>
      <c r="G8" s="96">
        <v>1.4</v>
      </c>
      <c r="H8" s="96" t="s">
        <v>95</v>
      </c>
      <c r="I8" s="96" t="s">
        <v>96</v>
      </c>
    </row>
    <row r="9" spans="1:9" ht="15.75" customHeight="1">
      <c r="A9" s="96">
        <v>1</v>
      </c>
      <c r="B9" s="96">
        <v>1</v>
      </c>
      <c r="C9" s="96" t="s">
        <v>92</v>
      </c>
      <c r="D9" s="96">
        <v>2</v>
      </c>
      <c r="E9" s="96" t="s">
        <v>97</v>
      </c>
      <c r="F9" s="96" t="s">
        <v>98</v>
      </c>
      <c r="G9" s="96">
        <v>1.4</v>
      </c>
      <c r="H9" s="96" t="s">
        <v>95</v>
      </c>
      <c r="I9" s="96" t="s">
        <v>96</v>
      </c>
    </row>
    <row r="10" spans="1:9" ht="15.75" customHeight="1">
      <c r="A10" s="96">
        <v>1</v>
      </c>
      <c r="B10" s="96">
        <v>1</v>
      </c>
      <c r="C10" s="96" t="s">
        <v>92</v>
      </c>
      <c r="D10" s="96">
        <v>3</v>
      </c>
      <c r="E10" s="96" t="s">
        <v>99</v>
      </c>
      <c r="F10" s="96" t="s">
        <v>100</v>
      </c>
      <c r="G10" s="96">
        <v>1.4</v>
      </c>
      <c r="H10" s="96" t="s">
        <v>95</v>
      </c>
      <c r="I10" s="96" t="s">
        <v>96</v>
      </c>
    </row>
    <row r="11" spans="1:9" ht="15.75" customHeight="1">
      <c r="A11" s="96">
        <v>1</v>
      </c>
      <c r="B11" s="96">
        <v>1</v>
      </c>
      <c r="C11" s="96" t="s">
        <v>92</v>
      </c>
      <c r="D11" s="96">
        <v>4</v>
      </c>
      <c r="E11" s="96" t="s">
        <v>101</v>
      </c>
      <c r="F11" s="96" t="s">
        <v>102</v>
      </c>
      <c r="G11" s="96">
        <v>1.4</v>
      </c>
      <c r="H11" s="96" t="s">
        <v>103</v>
      </c>
      <c r="I11" s="96" t="s">
        <v>96</v>
      </c>
    </row>
    <row r="12" spans="1:9" ht="15.75" customHeight="1">
      <c r="A12" s="96">
        <v>1</v>
      </c>
      <c r="B12" s="96">
        <v>1</v>
      </c>
      <c r="C12" s="96" t="s">
        <v>92</v>
      </c>
      <c r="D12" s="96">
        <v>5</v>
      </c>
      <c r="E12" s="96" t="s">
        <v>104</v>
      </c>
      <c r="F12" s="96" t="s">
        <v>105</v>
      </c>
      <c r="G12" s="96">
        <v>1.4</v>
      </c>
      <c r="H12" s="96" t="s">
        <v>95</v>
      </c>
      <c r="I12" s="96" t="s">
        <v>96</v>
      </c>
    </row>
    <row r="13" spans="1:9" ht="15.75" customHeight="1">
      <c r="A13" s="96">
        <v>1</v>
      </c>
      <c r="B13" s="96">
        <v>1</v>
      </c>
      <c r="C13" s="96" t="s">
        <v>92</v>
      </c>
      <c r="D13" s="96">
        <v>6</v>
      </c>
      <c r="E13" s="96" t="s">
        <v>106</v>
      </c>
      <c r="F13" s="96" t="s">
        <v>107</v>
      </c>
      <c r="G13" s="96">
        <v>1.4</v>
      </c>
      <c r="H13" s="96" t="s">
        <v>103</v>
      </c>
      <c r="I13" s="96" t="s">
        <v>96</v>
      </c>
    </row>
    <row r="14" spans="1:9" ht="15.75" customHeight="1">
      <c r="A14" s="96">
        <v>1</v>
      </c>
      <c r="B14" s="96">
        <v>1</v>
      </c>
      <c r="C14" s="96" t="s">
        <v>108</v>
      </c>
      <c r="D14" s="96">
        <v>1</v>
      </c>
      <c r="E14" s="96" t="s">
        <v>109</v>
      </c>
      <c r="F14" s="96" t="s">
        <v>110</v>
      </c>
      <c r="G14" s="96" t="s">
        <v>111</v>
      </c>
      <c r="H14" s="96" t="s">
        <v>95</v>
      </c>
      <c r="I14" s="96" t="s">
        <v>51</v>
      </c>
    </row>
    <row r="15" spans="1:9" ht="15.75" customHeight="1">
      <c r="A15" s="96">
        <v>1</v>
      </c>
      <c r="B15" s="96">
        <v>1</v>
      </c>
      <c r="C15" s="96" t="s">
        <v>108</v>
      </c>
      <c r="D15" s="96">
        <v>2</v>
      </c>
      <c r="E15" s="96" t="s">
        <v>112</v>
      </c>
      <c r="F15" s="96" t="s">
        <v>113</v>
      </c>
      <c r="G15" s="96" t="s">
        <v>111</v>
      </c>
      <c r="H15" s="96" t="s">
        <v>95</v>
      </c>
      <c r="I15" s="96" t="s">
        <v>51</v>
      </c>
    </row>
    <row r="16" spans="1:9" ht="15.75" customHeight="1">
      <c r="A16" s="96">
        <v>1</v>
      </c>
      <c r="B16" s="96">
        <v>1</v>
      </c>
      <c r="C16" s="96" t="s">
        <v>108</v>
      </c>
      <c r="D16" s="96">
        <v>3</v>
      </c>
      <c r="E16" s="96" t="s">
        <v>114</v>
      </c>
      <c r="F16" s="96" t="s">
        <v>115</v>
      </c>
      <c r="G16" s="96" t="s">
        <v>111</v>
      </c>
      <c r="H16" s="96" t="s">
        <v>95</v>
      </c>
      <c r="I16" s="96" t="s">
        <v>51</v>
      </c>
    </row>
    <row r="17" spans="1:9" ht="15.75" customHeight="1">
      <c r="A17" s="96">
        <v>1</v>
      </c>
      <c r="B17" s="96">
        <v>1</v>
      </c>
      <c r="C17" s="96" t="s">
        <v>108</v>
      </c>
      <c r="D17" s="96">
        <v>4</v>
      </c>
      <c r="E17" s="96" t="s">
        <v>116</v>
      </c>
      <c r="F17" s="96" t="s">
        <v>117</v>
      </c>
      <c r="G17" s="96" t="s">
        <v>111</v>
      </c>
      <c r="H17" s="96" t="s">
        <v>95</v>
      </c>
      <c r="I17" s="96" t="s">
        <v>51</v>
      </c>
    </row>
    <row r="18" spans="1:9" ht="15.75" customHeight="1">
      <c r="A18" s="96">
        <v>1</v>
      </c>
      <c r="B18" s="96">
        <v>1</v>
      </c>
      <c r="C18" s="96" t="s">
        <v>108</v>
      </c>
      <c r="D18" s="96">
        <v>5</v>
      </c>
      <c r="E18" s="96" t="s">
        <v>118</v>
      </c>
      <c r="F18" s="96" t="s">
        <v>119</v>
      </c>
      <c r="G18" s="96" t="s">
        <v>111</v>
      </c>
      <c r="H18" s="96" t="s">
        <v>103</v>
      </c>
      <c r="I18" s="96" t="s">
        <v>51</v>
      </c>
    </row>
    <row r="19" spans="1:9" ht="15.75" customHeight="1">
      <c r="A19" s="96">
        <v>1</v>
      </c>
      <c r="B19" s="96">
        <v>1</v>
      </c>
      <c r="C19" s="96" t="s">
        <v>108</v>
      </c>
      <c r="D19" s="96">
        <v>6</v>
      </c>
      <c r="E19" s="96" t="s">
        <v>120</v>
      </c>
      <c r="F19" s="96" t="s">
        <v>121</v>
      </c>
      <c r="G19" s="96" t="s">
        <v>111</v>
      </c>
      <c r="H19" s="96" t="s">
        <v>95</v>
      </c>
      <c r="I19" s="96" t="s">
        <v>51</v>
      </c>
    </row>
    <row r="20" spans="1:9" ht="15.75" customHeight="1">
      <c r="A20" s="96">
        <v>1</v>
      </c>
      <c r="B20" s="96">
        <v>1</v>
      </c>
      <c r="C20" s="96" t="s">
        <v>122</v>
      </c>
      <c r="D20" s="96">
        <v>1</v>
      </c>
      <c r="E20" s="96" t="s">
        <v>123</v>
      </c>
      <c r="F20" s="96" t="s">
        <v>124</v>
      </c>
      <c r="G20" s="96" t="s">
        <v>111</v>
      </c>
      <c r="H20" s="96" t="s">
        <v>12</v>
      </c>
      <c r="I20" s="96" t="s">
        <v>50</v>
      </c>
    </row>
    <row r="21" spans="1:9" ht="15.75" customHeight="1">
      <c r="A21" s="96">
        <v>1</v>
      </c>
      <c r="B21" s="96">
        <v>1</v>
      </c>
      <c r="C21" s="96" t="s">
        <v>122</v>
      </c>
      <c r="D21" s="96">
        <v>2</v>
      </c>
      <c r="E21" s="96" t="s">
        <v>125</v>
      </c>
      <c r="F21" s="96" t="s">
        <v>126</v>
      </c>
      <c r="G21" s="96" t="s">
        <v>111</v>
      </c>
      <c r="H21" s="96" t="s">
        <v>12</v>
      </c>
      <c r="I21" s="96" t="s">
        <v>50</v>
      </c>
    </row>
    <row r="22" spans="1:9" ht="15.75" customHeight="1">
      <c r="A22" s="96">
        <v>1</v>
      </c>
      <c r="B22" s="96">
        <v>1</v>
      </c>
      <c r="C22" s="96" t="s">
        <v>122</v>
      </c>
      <c r="D22" s="96">
        <v>3</v>
      </c>
      <c r="E22" s="96" t="s">
        <v>127</v>
      </c>
      <c r="F22" s="96" t="s">
        <v>128</v>
      </c>
      <c r="G22" s="96" t="s">
        <v>111</v>
      </c>
      <c r="H22" s="96" t="s">
        <v>12</v>
      </c>
      <c r="I22" s="96" t="s">
        <v>50</v>
      </c>
    </row>
    <row r="23" spans="1:9" ht="15.75" customHeight="1">
      <c r="A23" s="96">
        <v>1</v>
      </c>
      <c r="B23" s="96">
        <v>1</v>
      </c>
      <c r="C23" s="96" t="s">
        <v>122</v>
      </c>
      <c r="D23" s="96">
        <v>4</v>
      </c>
      <c r="E23" s="96" t="s">
        <v>129</v>
      </c>
      <c r="F23" s="96" t="s">
        <v>130</v>
      </c>
      <c r="G23" s="96" t="s">
        <v>111</v>
      </c>
      <c r="H23" s="96" t="s">
        <v>12</v>
      </c>
      <c r="I23" s="96" t="s">
        <v>50</v>
      </c>
    </row>
    <row r="24" spans="1:9" ht="15.75" customHeight="1">
      <c r="A24" s="96">
        <v>1</v>
      </c>
      <c r="B24" s="96">
        <v>1</v>
      </c>
      <c r="C24" s="96" t="s">
        <v>122</v>
      </c>
      <c r="D24" s="96">
        <v>5</v>
      </c>
      <c r="E24" s="96" t="s">
        <v>131</v>
      </c>
      <c r="F24" s="96" t="s">
        <v>132</v>
      </c>
      <c r="G24" s="96" t="s">
        <v>111</v>
      </c>
      <c r="H24" s="96" t="s">
        <v>12</v>
      </c>
      <c r="I24" s="96" t="s">
        <v>50</v>
      </c>
    </row>
    <row r="25" spans="1:9" ht="15.75" customHeight="1">
      <c r="A25" s="96">
        <v>1</v>
      </c>
      <c r="B25" s="96">
        <v>1</v>
      </c>
      <c r="C25" s="96" t="s">
        <v>122</v>
      </c>
      <c r="D25" s="96">
        <v>6</v>
      </c>
      <c r="E25" s="96" t="s">
        <v>133</v>
      </c>
      <c r="F25" s="96" t="s">
        <v>134</v>
      </c>
      <c r="G25" s="96" t="s">
        <v>111</v>
      </c>
      <c r="H25" s="96" t="s">
        <v>12</v>
      </c>
      <c r="I25" s="96" t="s">
        <v>50</v>
      </c>
    </row>
    <row r="26" spans="1:9" ht="15.75" customHeight="1">
      <c r="A26" s="96">
        <v>1</v>
      </c>
      <c r="B26" s="96">
        <v>1</v>
      </c>
      <c r="C26" s="96" t="s">
        <v>135</v>
      </c>
      <c r="D26" s="96">
        <v>1</v>
      </c>
      <c r="E26" s="96" t="s">
        <v>136</v>
      </c>
      <c r="F26" s="96" t="s">
        <v>137</v>
      </c>
      <c r="G26" s="96" t="s">
        <v>138</v>
      </c>
      <c r="H26" s="96" t="s">
        <v>24</v>
      </c>
      <c r="I26" s="96" t="s">
        <v>96</v>
      </c>
    </row>
    <row r="27" spans="1:9" ht="15.75" customHeight="1">
      <c r="A27" s="96">
        <v>1</v>
      </c>
      <c r="B27" s="96">
        <v>1</v>
      </c>
      <c r="C27" s="96" t="s">
        <v>135</v>
      </c>
      <c r="D27" s="96">
        <v>2</v>
      </c>
      <c r="E27" s="96" t="s">
        <v>139</v>
      </c>
      <c r="F27" s="96" t="s">
        <v>140</v>
      </c>
      <c r="G27" s="96" t="s">
        <v>138</v>
      </c>
      <c r="H27" s="96" t="s">
        <v>141</v>
      </c>
      <c r="I27" s="96" t="s">
        <v>96</v>
      </c>
    </row>
    <row r="28" spans="1:9" ht="15.75" customHeight="1">
      <c r="A28" s="96">
        <v>1</v>
      </c>
      <c r="B28" s="96">
        <v>1</v>
      </c>
      <c r="C28" s="96" t="s">
        <v>135</v>
      </c>
      <c r="D28" s="96">
        <v>3</v>
      </c>
      <c r="E28" s="96" t="s">
        <v>142</v>
      </c>
      <c r="F28" s="96" t="s">
        <v>143</v>
      </c>
      <c r="G28" s="96" t="s">
        <v>138</v>
      </c>
      <c r="H28" s="96" t="s">
        <v>27</v>
      </c>
      <c r="I28" s="96" t="s">
        <v>96</v>
      </c>
    </row>
    <row r="29" spans="1:9" ht="15.75" customHeight="1">
      <c r="A29" s="96">
        <v>1</v>
      </c>
      <c r="B29" s="96">
        <v>1</v>
      </c>
      <c r="C29" s="96" t="s">
        <v>135</v>
      </c>
      <c r="D29" s="96">
        <v>4</v>
      </c>
      <c r="E29" s="96" t="s">
        <v>144</v>
      </c>
      <c r="F29" s="96" t="s">
        <v>145</v>
      </c>
      <c r="G29" s="96" t="s">
        <v>138</v>
      </c>
      <c r="H29" s="96" t="s">
        <v>27</v>
      </c>
      <c r="I29" s="96" t="s">
        <v>96</v>
      </c>
    </row>
    <row r="30" spans="1:9" ht="15.75" customHeight="1">
      <c r="A30" s="96">
        <v>1</v>
      </c>
      <c r="B30" s="96">
        <v>1</v>
      </c>
      <c r="C30" s="96" t="s">
        <v>135</v>
      </c>
      <c r="D30" s="96">
        <v>5</v>
      </c>
      <c r="E30" s="96" t="s">
        <v>146</v>
      </c>
      <c r="F30" s="96" t="s">
        <v>147</v>
      </c>
      <c r="G30" s="96" t="s">
        <v>138</v>
      </c>
      <c r="H30" s="96" t="s">
        <v>148</v>
      </c>
      <c r="I30" s="96" t="s">
        <v>96</v>
      </c>
    </row>
    <row r="31" spans="1:9" ht="15.75" customHeight="1">
      <c r="A31" s="96">
        <v>1</v>
      </c>
      <c r="B31" s="96">
        <v>1</v>
      </c>
      <c r="C31" s="96" t="s">
        <v>135</v>
      </c>
      <c r="D31" s="96">
        <v>6</v>
      </c>
      <c r="E31" s="96" t="s">
        <v>149</v>
      </c>
      <c r="F31" s="96" t="s">
        <v>150</v>
      </c>
      <c r="G31" s="96" t="s">
        <v>138</v>
      </c>
      <c r="H31" s="96" t="s">
        <v>24</v>
      </c>
      <c r="I31" s="96" t="s">
        <v>96</v>
      </c>
    </row>
    <row r="32" spans="1:9" ht="15.75" customHeight="1">
      <c r="A32" s="96">
        <v>1</v>
      </c>
      <c r="B32" s="96">
        <v>1</v>
      </c>
      <c r="C32" s="96" t="s">
        <v>151</v>
      </c>
      <c r="D32" s="96">
        <v>1</v>
      </c>
      <c r="E32" s="96" t="s">
        <v>152</v>
      </c>
      <c r="F32" s="96" t="s">
        <v>153</v>
      </c>
      <c r="G32" s="96" t="s">
        <v>154</v>
      </c>
      <c r="H32" s="96" t="s">
        <v>27</v>
      </c>
      <c r="I32" s="96" t="s">
        <v>96</v>
      </c>
    </row>
    <row r="33" spans="1:9" ht="15.75" customHeight="1">
      <c r="A33" s="96">
        <v>1</v>
      </c>
      <c r="B33" s="96">
        <v>1</v>
      </c>
      <c r="C33" s="96" t="s">
        <v>151</v>
      </c>
      <c r="D33" s="96">
        <v>2</v>
      </c>
      <c r="E33" s="96" t="s">
        <v>155</v>
      </c>
      <c r="F33" s="96" t="s">
        <v>156</v>
      </c>
      <c r="G33" s="96" t="s">
        <v>154</v>
      </c>
      <c r="H33" s="96" t="s">
        <v>27</v>
      </c>
      <c r="I33" s="96" t="s">
        <v>96</v>
      </c>
    </row>
    <row r="34" spans="1:9" ht="15.75" customHeight="1">
      <c r="A34" s="96">
        <v>1</v>
      </c>
      <c r="B34" s="96">
        <v>1</v>
      </c>
      <c r="C34" s="96" t="s">
        <v>151</v>
      </c>
      <c r="D34" s="96">
        <v>3</v>
      </c>
      <c r="E34" s="96" t="s">
        <v>157</v>
      </c>
      <c r="F34" s="96" t="s">
        <v>158</v>
      </c>
      <c r="G34" s="96" t="s">
        <v>154</v>
      </c>
      <c r="H34" s="96" t="s">
        <v>27</v>
      </c>
      <c r="I34" s="96" t="s">
        <v>96</v>
      </c>
    </row>
    <row r="35" spans="1:9" ht="15.75" customHeight="1">
      <c r="A35" s="96">
        <v>1</v>
      </c>
      <c r="B35" s="96">
        <v>1</v>
      </c>
      <c r="C35" s="96" t="s">
        <v>151</v>
      </c>
      <c r="D35" s="96">
        <v>4</v>
      </c>
      <c r="E35" s="96" t="s">
        <v>159</v>
      </c>
      <c r="F35" s="96" t="s">
        <v>160</v>
      </c>
      <c r="G35" s="96" t="s">
        <v>154</v>
      </c>
      <c r="H35" s="96" t="s">
        <v>27</v>
      </c>
      <c r="I35" s="96" t="s">
        <v>96</v>
      </c>
    </row>
    <row r="36" spans="1:9" ht="15.75" customHeight="1">
      <c r="A36" s="96">
        <v>1</v>
      </c>
      <c r="B36" s="96">
        <v>1</v>
      </c>
      <c r="C36" s="96" t="s">
        <v>151</v>
      </c>
      <c r="D36" s="96">
        <v>5</v>
      </c>
      <c r="E36" s="96" t="s">
        <v>161</v>
      </c>
      <c r="F36" s="96" t="s">
        <v>162</v>
      </c>
      <c r="G36" s="96" t="s">
        <v>154</v>
      </c>
      <c r="H36" s="96" t="s">
        <v>163</v>
      </c>
      <c r="I36" s="96" t="s">
        <v>96</v>
      </c>
    </row>
    <row r="37" spans="1:9" ht="15.75" customHeight="1">
      <c r="A37" s="96">
        <v>1</v>
      </c>
      <c r="B37" s="96">
        <v>1</v>
      </c>
      <c r="C37" s="96" t="s">
        <v>151</v>
      </c>
      <c r="D37" s="96">
        <v>6</v>
      </c>
      <c r="E37" s="96" t="s">
        <v>164</v>
      </c>
      <c r="F37" s="96" t="s">
        <v>165</v>
      </c>
      <c r="G37" s="96" t="s">
        <v>154</v>
      </c>
      <c r="H37" s="96" t="s">
        <v>166</v>
      </c>
      <c r="I37" s="96" t="s">
        <v>96</v>
      </c>
    </row>
    <row r="38" spans="1:9" ht="15.75" customHeight="1">
      <c r="A38" s="96">
        <v>1</v>
      </c>
      <c r="B38" s="96">
        <v>2</v>
      </c>
      <c r="C38" s="96" t="s">
        <v>167</v>
      </c>
      <c r="D38" s="96">
        <v>1</v>
      </c>
      <c r="E38" s="96" t="s">
        <v>168</v>
      </c>
      <c r="F38" s="96" t="s">
        <v>169</v>
      </c>
      <c r="G38" s="96" t="s">
        <v>78</v>
      </c>
      <c r="H38" s="96" t="s">
        <v>170</v>
      </c>
      <c r="I38" s="96" t="s">
        <v>52</v>
      </c>
    </row>
    <row r="39" spans="1:9" ht="15.75" customHeight="1">
      <c r="A39" s="96">
        <v>1</v>
      </c>
      <c r="B39" s="96">
        <v>2</v>
      </c>
      <c r="C39" s="96" t="s">
        <v>167</v>
      </c>
      <c r="D39" s="96">
        <v>2</v>
      </c>
      <c r="E39" s="96" t="s">
        <v>171</v>
      </c>
      <c r="F39" s="96" t="s">
        <v>172</v>
      </c>
      <c r="G39" s="96" t="s">
        <v>78</v>
      </c>
      <c r="H39" s="96" t="s">
        <v>173</v>
      </c>
      <c r="I39" s="96" t="s">
        <v>52</v>
      </c>
    </row>
    <row r="40" spans="1:9" ht="15.75" customHeight="1">
      <c r="A40" s="96">
        <v>1</v>
      </c>
      <c r="B40" s="96">
        <v>2</v>
      </c>
      <c r="C40" s="96" t="s">
        <v>167</v>
      </c>
      <c r="D40" s="96">
        <v>3</v>
      </c>
      <c r="E40" s="96" t="s">
        <v>174</v>
      </c>
      <c r="F40" s="96" t="s">
        <v>175</v>
      </c>
      <c r="G40" s="96" t="s">
        <v>78</v>
      </c>
      <c r="H40" s="96" t="s">
        <v>173</v>
      </c>
      <c r="I40" s="96" t="s">
        <v>52</v>
      </c>
    </row>
    <row r="41" spans="1:9" ht="15.75" customHeight="1">
      <c r="A41" s="96">
        <v>1</v>
      </c>
      <c r="B41" s="96">
        <v>2</v>
      </c>
      <c r="C41" s="96" t="s">
        <v>167</v>
      </c>
      <c r="D41" s="96">
        <v>4</v>
      </c>
      <c r="E41" s="96" t="s">
        <v>176</v>
      </c>
      <c r="F41" s="96" t="s">
        <v>177</v>
      </c>
      <c r="G41" s="96" t="s">
        <v>78</v>
      </c>
      <c r="H41" s="96" t="s">
        <v>173</v>
      </c>
      <c r="I41" s="96" t="s">
        <v>52</v>
      </c>
    </row>
    <row r="42" spans="1:9" ht="15.75" customHeight="1">
      <c r="A42" s="96">
        <v>1</v>
      </c>
      <c r="B42" s="96">
        <v>2</v>
      </c>
      <c r="C42" s="96" t="s">
        <v>167</v>
      </c>
      <c r="D42" s="96">
        <v>5</v>
      </c>
      <c r="E42" s="96" t="s">
        <v>178</v>
      </c>
      <c r="F42" s="96" t="s">
        <v>179</v>
      </c>
      <c r="G42" s="96" t="s">
        <v>78</v>
      </c>
      <c r="H42" s="96" t="s">
        <v>170</v>
      </c>
      <c r="I42" s="96" t="s">
        <v>52</v>
      </c>
    </row>
    <row r="43" spans="1:9" ht="15.75" customHeight="1">
      <c r="A43" s="96">
        <v>1</v>
      </c>
      <c r="B43" s="96">
        <v>2</v>
      </c>
      <c r="C43" s="96" t="s">
        <v>167</v>
      </c>
      <c r="D43" s="96">
        <v>6</v>
      </c>
      <c r="E43" s="96" t="s">
        <v>180</v>
      </c>
      <c r="F43" s="96" t="s">
        <v>181</v>
      </c>
      <c r="G43" s="96" t="s">
        <v>78</v>
      </c>
      <c r="H43" s="96" t="s">
        <v>182</v>
      </c>
      <c r="I43" s="96" t="s">
        <v>52</v>
      </c>
    </row>
    <row r="44" spans="1:9" ht="15.75" customHeight="1">
      <c r="A44" s="96">
        <v>1</v>
      </c>
      <c r="B44" s="96">
        <v>2</v>
      </c>
      <c r="C44" s="96" t="s">
        <v>183</v>
      </c>
      <c r="D44" s="96">
        <v>1</v>
      </c>
      <c r="E44" s="96" t="s">
        <v>184</v>
      </c>
      <c r="F44" s="96" t="s">
        <v>185</v>
      </c>
      <c r="G44" s="96" t="s">
        <v>78</v>
      </c>
      <c r="H44" s="96" t="s">
        <v>186</v>
      </c>
      <c r="I44" s="96" t="s">
        <v>53</v>
      </c>
    </row>
    <row r="45" spans="1:9" ht="15.75" customHeight="1">
      <c r="A45" s="96">
        <v>1</v>
      </c>
      <c r="B45" s="96">
        <v>2</v>
      </c>
      <c r="C45" s="96" t="s">
        <v>183</v>
      </c>
      <c r="D45" s="96">
        <v>2</v>
      </c>
      <c r="E45" s="96" t="s">
        <v>187</v>
      </c>
      <c r="F45" s="96" t="s">
        <v>188</v>
      </c>
      <c r="G45" s="96" t="s">
        <v>78</v>
      </c>
      <c r="H45" s="96" t="s">
        <v>189</v>
      </c>
      <c r="I45" s="96" t="s">
        <v>53</v>
      </c>
    </row>
    <row r="46" spans="1:9" ht="15.75" customHeight="1">
      <c r="A46" s="96">
        <v>1</v>
      </c>
      <c r="B46" s="96">
        <v>2</v>
      </c>
      <c r="C46" s="96" t="s">
        <v>183</v>
      </c>
      <c r="D46" s="96">
        <v>3</v>
      </c>
      <c r="E46" s="96" t="s">
        <v>190</v>
      </c>
      <c r="F46" s="96" t="s">
        <v>191</v>
      </c>
      <c r="G46" s="96" t="s">
        <v>78</v>
      </c>
      <c r="H46" s="96" t="s">
        <v>192</v>
      </c>
      <c r="I46" s="96" t="s">
        <v>53</v>
      </c>
    </row>
    <row r="47" spans="1:9" ht="15.75" customHeight="1">
      <c r="A47" s="96">
        <v>1</v>
      </c>
      <c r="B47" s="96">
        <v>2</v>
      </c>
      <c r="C47" s="96" t="s">
        <v>183</v>
      </c>
      <c r="D47" s="96">
        <v>4</v>
      </c>
      <c r="E47" s="96" t="s">
        <v>193</v>
      </c>
      <c r="F47" s="96" t="s">
        <v>194</v>
      </c>
      <c r="G47" s="96" t="s">
        <v>78</v>
      </c>
      <c r="H47" s="96" t="s">
        <v>103</v>
      </c>
      <c r="I47" s="96" t="s">
        <v>53</v>
      </c>
    </row>
    <row r="48" spans="1:9" ht="13">
      <c r="A48" s="96">
        <v>1</v>
      </c>
      <c r="B48" s="96">
        <v>2</v>
      </c>
      <c r="C48" s="96" t="s">
        <v>183</v>
      </c>
      <c r="D48" s="96">
        <v>5</v>
      </c>
      <c r="E48" s="96" t="s">
        <v>195</v>
      </c>
      <c r="F48" s="96" t="s">
        <v>196</v>
      </c>
      <c r="G48" s="96" t="s">
        <v>78</v>
      </c>
      <c r="H48" s="96" t="s">
        <v>95</v>
      </c>
      <c r="I48" s="96" t="s">
        <v>53</v>
      </c>
    </row>
    <row r="49" spans="1:9" ht="13">
      <c r="A49" s="96">
        <v>1</v>
      </c>
      <c r="B49" s="96">
        <v>2</v>
      </c>
      <c r="C49" s="96" t="s">
        <v>183</v>
      </c>
      <c r="D49" s="96">
        <v>6</v>
      </c>
      <c r="E49" s="96" t="s">
        <v>197</v>
      </c>
      <c r="F49" s="96" t="s">
        <v>198</v>
      </c>
      <c r="G49" s="96" t="s">
        <v>78</v>
      </c>
      <c r="H49" s="96" t="s">
        <v>95</v>
      </c>
      <c r="I49" s="96" t="s">
        <v>53</v>
      </c>
    </row>
    <row r="50" spans="1:9" ht="13">
      <c r="A50" s="96">
        <v>1</v>
      </c>
      <c r="B50" s="96">
        <v>2</v>
      </c>
      <c r="C50" s="96" t="s">
        <v>199</v>
      </c>
      <c r="D50" s="96">
        <v>1</v>
      </c>
      <c r="E50" s="96" t="s">
        <v>200</v>
      </c>
      <c r="F50" s="96" t="s">
        <v>201</v>
      </c>
      <c r="G50" s="96">
        <v>1.4</v>
      </c>
      <c r="H50" s="96" t="s">
        <v>9</v>
      </c>
      <c r="I50" s="96" t="s">
        <v>50</v>
      </c>
    </row>
    <row r="51" spans="1:9" ht="13">
      <c r="A51" s="96">
        <v>1</v>
      </c>
      <c r="B51" s="96">
        <v>2</v>
      </c>
      <c r="C51" s="96" t="s">
        <v>199</v>
      </c>
      <c r="D51" s="96">
        <v>2</v>
      </c>
      <c r="E51" s="96" t="s">
        <v>202</v>
      </c>
      <c r="F51" s="96" t="s">
        <v>203</v>
      </c>
      <c r="G51" s="96">
        <v>1.4</v>
      </c>
      <c r="H51" s="96" t="s">
        <v>9</v>
      </c>
      <c r="I51" s="96" t="s">
        <v>50</v>
      </c>
    </row>
    <row r="52" spans="1:9" ht="13">
      <c r="A52" s="96">
        <v>1</v>
      </c>
      <c r="B52" s="96">
        <v>2</v>
      </c>
      <c r="C52" s="96" t="s">
        <v>199</v>
      </c>
      <c r="D52" s="96">
        <v>3</v>
      </c>
      <c r="E52" s="96" t="s">
        <v>204</v>
      </c>
      <c r="F52" s="96" t="s">
        <v>205</v>
      </c>
      <c r="G52" s="96">
        <v>1.4</v>
      </c>
      <c r="H52" s="96" t="s">
        <v>206</v>
      </c>
      <c r="I52" s="96" t="s">
        <v>50</v>
      </c>
    </row>
    <row r="53" spans="1:9" ht="13">
      <c r="A53" s="96">
        <v>1</v>
      </c>
      <c r="B53" s="96">
        <v>2</v>
      </c>
      <c r="C53" s="96" t="s">
        <v>199</v>
      </c>
      <c r="D53" s="96">
        <v>4</v>
      </c>
      <c r="E53" s="96" t="s">
        <v>204</v>
      </c>
      <c r="F53" s="96" t="s">
        <v>205</v>
      </c>
      <c r="G53" s="96">
        <v>1.4</v>
      </c>
      <c r="H53" s="96" t="s">
        <v>206</v>
      </c>
      <c r="I53" s="96" t="s">
        <v>50</v>
      </c>
    </row>
    <row r="54" spans="1:9" ht="13">
      <c r="A54" s="96">
        <v>1</v>
      </c>
      <c r="B54" s="96">
        <v>2</v>
      </c>
      <c r="C54" s="96" t="s">
        <v>199</v>
      </c>
      <c r="D54" s="96">
        <v>5</v>
      </c>
      <c r="E54" s="96" t="s">
        <v>207</v>
      </c>
      <c r="F54" s="96" t="s">
        <v>208</v>
      </c>
      <c r="G54" s="96">
        <v>1.4</v>
      </c>
      <c r="H54" s="96" t="s">
        <v>103</v>
      </c>
      <c r="I54" s="96" t="s">
        <v>50</v>
      </c>
    </row>
    <row r="55" spans="1:9" ht="13">
      <c r="A55" s="96">
        <v>1</v>
      </c>
      <c r="B55" s="96">
        <v>2</v>
      </c>
      <c r="C55" s="96" t="s">
        <v>199</v>
      </c>
      <c r="D55" s="96">
        <v>6</v>
      </c>
      <c r="E55" s="96" t="s">
        <v>209</v>
      </c>
      <c r="F55" s="96" t="s">
        <v>210</v>
      </c>
      <c r="G55" s="96">
        <v>1.4</v>
      </c>
      <c r="H55" s="96" t="s">
        <v>95</v>
      </c>
      <c r="I55" s="96" t="s">
        <v>50</v>
      </c>
    </row>
    <row r="56" spans="1:9" ht="13">
      <c r="A56" s="96">
        <v>1</v>
      </c>
      <c r="B56" s="96">
        <v>2</v>
      </c>
      <c r="C56" s="96" t="s">
        <v>211</v>
      </c>
      <c r="D56" s="96">
        <v>1</v>
      </c>
      <c r="E56" s="96" t="s">
        <v>212</v>
      </c>
      <c r="F56" s="96" t="s">
        <v>213</v>
      </c>
      <c r="G56" s="96" t="s">
        <v>111</v>
      </c>
      <c r="H56" s="96" t="s">
        <v>12</v>
      </c>
      <c r="I56" s="96" t="s">
        <v>214</v>
      </c>
    </row>
    <row r="57" spans="1:9" ht="13">
      <c r="A57" s="96">
        <v>1</v>
      </c>
      <c r="B57" s="96">
        <v>2</v>
      </c>
      <c r="C57" s="96" t="s">
        <v>211</v>
      </c>
      <c r="D57" s="96">
        <v>2</v>
      </c>
      <c r="E57" s="96" t="s">
        <v>215</v>
      </c>
      <c r="F57" s="96" t="s">
        <v>216</v>
      </c>
      <c r="G57" s="96" t="s">
        <v>111</v>
      </c>
      <c r="H57" s="96" t="s">
        <v>217</v>
      </c>
      <c r="I57" s="96" t="s">
        <v>214</v>
      </c>
    </row>
    <row r="58" spans="1:9" ht="13">
      <c r="A58" s="96">
        <v>1</v>
      </c>
      <c r="B58" s="96">
        <v>2</v>
      </c>
      <c r="C58" s="96" t="s">
        <v>211</v>
      </c>
      <c r="D58" s="96">
        <v>3</v>
      </c>
      <c r="E58" s="96" t="s">
        <v>218</v>
      </c>
      <c r="F58" s="96" t="s">
        <v>219</v>
      </c>
      <c r="G58" s="96" t="s">
        <v>111</v>
      </c>
      <c r="H58" s="96" t="s">
        <v>217</v>
      </c>
      <c r="I58" s="96" t="s">
        <v>214</v>
      </c>
    </row>
    <row r="59" spans="1:9" ht="13">
      <c r="A59" s="96">
        <v>1</v>
      </c>
      <c r="B59" s="96">
        <v>2</v>
      </c>
      <c r="C59" s="96" t="s">
        <v>211</v>
      </c>
      <c r="D59" s="96">
        <v>4</v>
      </c>
      <c r="E59" s="96" t="s">
        <v>220</v>
      </c>
      <c r="F59" s="96" t="s">
        <v>221</v>
      </c>
      <c r="G59" s="96" t="s">
        <v>111</v>
      </c>
      <c r="H59" s="96" t="s">
        <v>217</v>
      </c>
      <c r="I59" s="96" t="s">
        <v>214</v>
      </c>
    </row>
    <row r="60" spans="1:9" ht="13">
      <c r="A60" s="96">
        <v>1</v>
      </c>
      <c r="B60" s="96">
        <v>2</v>
      </c>
      <c r="C60" s="96" t="s">
        <v>211</v>
      </c>
      <c r="D60" s="96">
        <v>5</v>
      </c>
      <c r="E60" s="96" t="s">
        <v>222</v>
      </c>
      <c r="F60" s="96" t="s">
        <v>223</v>
      </c>
      <c r="G60" s="96" t="s">
        <v>111</v>
      </c>
      <c r="H60" s="96" t="s">
        <v>217</v>
      </c>
      <c r="I60" s="96" t="s">
        <v>214</v>
      </c>
    </row>
    <row r="61" spans="1:9" ht="13">
      <c r="A61" s="96">
        <v>1</v>
      </c>
      <c r="B61" s="96">
        <v>2</v>
      </c>
      <c r="C61" s="96" t="s">
        <v>211</v>
      </c>
      <c r="D61" s="96">
        <v>6</v>
      </c>
      <c r="E61" s="96" t="s">
        <v>224</v>
      </c>
      <c r="F61" s="96" t="s">
        <v>225</v>
      </c>
      <c r="G61" s="96" t="s">
        <v>111</v>
      </c>
      <c r="H61" s="96" t="s">
        <v>226</v>
      </c>
      <c r="I61" s="96" t="s">
        <v>214</v>
      </c>
    </row>
    <row r="62" spans="1:9" ht="13">
      <c r="A62" s="96">
        <v>1</v>
      </c>
      <c r="B62" s="96">
        <v>2</v>
      </c>
      <c r="C62" s="96" t="s">
        <v>227</v>
      </c>
      <c r="D62" s="96">
        <v>1</v>
      </c>
      <c r="E62" s="96" t="s">
        <v>228</v>
      </c>
      <c r="F62" s="96" t="s">
        <v>229</v>
      </c>
      <c r="G62" s="96" t="s">
        <v>154</v>
      </c>
      <c r="H62" s="96" t="s">
        <v>24</v>
      </c>
      <c r="I62" s="96" t="s">
        <v>96</v>
      </c>
    </row>
    <row r="63" spans="1:9" ht="13">
      <c r="A63" s="96">
        <v>1</v>
      </c>
      <c r="B63" s="96">
        <v>2</v>
      </c>
      <c r="C63" s="96" t="s">
        <v>227</v>
      </c>
      <c r="D63" s="96">
        <v>2</v>
      </c>
      <c r="E63" s="96" t="s">
        <v>230</v>
      </c>
      <c r="F63" s="96" t="s">
        <v>231</v>
      </c>
      <c r="G63" s="96" t="s">
        <v>154</v>
      </c>
      <c r="H63" s="96" t="s">
        <v>24</v>
      </c>
      <c r="I63" s="96" t="s">
        <v>96</v>
      </c>
    </row>
    <row r="64" spans="1:9" ht="13">
      <c r="A64" s="96">
        <v>1</v>
      </c>
      <c r="B64" s="96">
        <v>2</v>
      </c>
      <c r="C64" s="96" t="s">
        <v>227</v>
      </c>
      <c r="D64" s="96">
        <v>3</v>
      </c>
      <c r="E64" s="96" t="s">
        <v>232</v>
      </c>
      <c r="F64" s="96" t="s">
        <v>233</v>
      </c>
      <c r="G64" s="96" t="s">
        <v>154</v>
      </c>
      <c r="H64" s="96" t="s">
        <v>234</v>
      </c>
      <c r="I64" s="96" t="s">
        <v>96</v>
      </c>
    </row>
    <row r="65" spans="1:9" ht="13">
      <c r="A65" s="96">
        <v>1</v>
      </c>
      <c r="B65" s="96">
        <v>2</v>
      </c>
      <c r="C65" s="96" t="s">
        <v>227</v>
      </c>
      <c r="D65" s="96">
        <v>4</v>
      </c>
      <c r="E65" s="96" t="s">
        <v>235</v>
      </c>
      <c r="F65" s="96" t="s">
        <v>236</v>
      </c>
      <c r="G65" s="96" t="s">
        <v>154</v>
      </c>
      <c r="H65" s="96" t="s">
        <v>166</v>
      </c>
      <c r="I65" s="96" t="s">
        <v>96</v>
      </c>
    </row>
    <row r="66" spans="1:9" ht="13">
      <c r="A66" s="96">
        <v>1</v>
      </c>
      <c r="B66" s="96">
        <v>2</v>
      </c>
      <c r="C66" s="96" t="s">
        <v>227</v>
      </c>
      <c r="D66" s="96">
        <v>5</v>
      </c>
      <c r="E66" s="96" t="s">
        <v>237</v>
      </c>
      <c r="F66" s="96" t="s">
        <v>238</v>
      </c>
      <c r="G66" s="96" t="s">
        <v>154</v>
      </c>
      <c r="H66" s="96" t="s">
        <v>148</v>
      </c>
      <c r="I66" s="96" t="s">
        <v>96</v>
      </c>
    </row>
    <row r="67" spans="1:9" ht="13">
      <c r="A67" s="96">
        <v>1</v>
      </c>
      <c r="B67" s="96">
        <v>2</v>
      </c>
      <c r="C67" s="96" t="s">
        <v>227</v>
      </c>
      <c r="D67" s="96">
        <v>6</v>
      </c>
      <c r="E67" s="96" t="s">
        <v>239</v>
      </c>
      <c r="F67" s="96" t="s">
        <v>240</v>
      </c>
      <c r="G67" s="96" t="s">
        <v>154</v>
      </c>
      <c r="H67" s="96" t="s">
        <v>166</v>
      </c>
      <c r="I67" s="96" t="s">
        <v>96</v>
      </c>
    </row>
    <row r="68" spans="1:9" ht="13">
      <c r="A68" s="96">
        <v>1</v>
      </c>
      <c r="B68" s="96">
        <v>2</v>
      </c>
      <c r="C68" s="96" t="s">
        <v>241</v>
      </c>
      <c r="D68" s="96">
        <v>1</v>
      </c>
      <c r="E68" s="96" t="s">
        <v>242</v>
      </c>
      <c r="F68" s="96" t="s">
        <v>243</v>
      </c>
      <c r="G68" s="96" t="s">
        <v>244</v>
      </c>
      <c r="H68" s="96" t="s">
        <v>27</v>
      </c>
      <c r="I68" s="96" t="s">
        <v>96</v>
      </c>
    </row>
    <row r="69" spans="1:9" ht="13">
      <c r="A69" s="96">
        <v>1</v>
      </c>
      <c r="B69" s="96">
        <v>2</v>
      </c>
      <c r="C69" s="96" t="s">
        <v>241</v>
      </c>
      <c r="D69" s="96">
        <v>2</v>
      </c>
      <c r="E69" s="96" t="s">
        <v>245</v>
      </c>
      <c r="F69" s="96" t="s">
        <v>246</v>
      </c>
      <c r="G69" s="96" t="s">
        <v>244</v>
      </c>
      <c r="H69" s="96" t="s">
        <v>27</v>
      </c>
      <c r="I69" s="96" t="s">
        <v>96</v>
      </c>
    </row>
    <row r="70" spans="1:9" ht="13">
      <c r="A70" s="96">
        <v>1</v>
      </c>
      <c r="B70" s="96">
        <v>2</v>
      </c>
      <c r="C70" s="96" t="s">
        <v>241</v>
      </c>
      <c r="D70" s="96">
        <v>3</v>
      </c>
      <c r="E70" s="96" t="s">
        <v>247</v>
      </c>
      <c r="F70" s="96" t="s">
        <v>248</v>
      </c>
      <c r="G70" s="96" t="s">
        <v>244</v>
      </c>
      <c r="H70" s="96" t="s">
        <v>163</v>
      </c>
      <c r="I70" s="96" t="s">
        <v>96</v>
      </c>
    </row>
    <row r="71" spans="1:9" ht="13">
      <c r="A71" s="96">
        <v>1</v>
      </c>
      <c r="B71" s="96">
        <v>2</v>
      </c>
      <c r="C71" s="96" t="s">
        <v>241</v>
      </c>
      <c r="D71" s="96">
        <v>4</v>
      </c>
      <c r="E71" s="96" t="s">
        <v>249</v>
      </c>
      <c r="F71" s="96" t="s">
        <v>250</v>
      </c>
      <c r="G71" s="96" t="s">
        <v>244</v>
      </c>
      <c r="H71" s="96" t="s">
        <v>163</v>
      </c>
      <c r="I71" s="96" t="s">
        <v>96</v>
      </c>
    </row>
    <row r="72" spans="1:9" ht="13">
      <c r="A72" s="96">
        <v>1</v>
      </c>
      <c r="B72" s="96">
        <v>2</v>
      </c>
      <c r="C72" s="96" t="s">
        <v>241</v>
      </c>
      <c r="D72" s="96">
        <v>5</v>
      </c>
      <c r="E72" s="96" t="s">
        <v>251</v>
      </c>
      <c r="F72" s="96" t="s">
        <v>252</v>
      </c>
      <c r="G72" s="96" t="s">
        <v>244</v>
      </c>
      <c r="H72" s="96" t="s">
        <v>163</v>
      </c>
      <c r="I72" s="96" t="s">
        <v>96</v>
      </c>
    </row>
    <row r="73" spans="1:9" ht="13">
      <c r="A73" s="96">
        <v>1</v>
      </c>
      <c r="B73" s="96">
        <v>2</v>
      </c>
      <c r="C73" s="96" t="s">
        <v>241</v>
      </c>
      <c r="D73" s="96">
        <v>6</v>
      </c>
      <c r="E73" s="96" t="s">
        <v>253</v>
      </c>
      <c r="F73" s="96" t="s">
        <v>254</v>
      </c>
      <c r="G73" s="96" t="s">
        <v>244</v>
      </c>
      <c r="H73" s="96" t="s">
        <v>163</v>
      </c>
      <c r="I73" s="96" t="s">
        <v>96</v>
      </c>
    </row>
    <row r="78" spans="1:9" ht="112">
      <c r="F78" s="13" t="s">
        <v>254</v>
      </c>
    </row>
  </sheetData>
  <conditionalFormatting sqref="F78">
    <cfRule type="expression" dxfId="1" priority="1">
      <formula>$Y78=1</formula>
    </cfRule>
  </conditionalFormatting>
  <conditionalFormatting sqref="F78">
    <cfRule type="expression" dxfId="0" priority="2">
      <formula>$Y78=0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I145"/>
  <sheetViews>
    <sheetView workbookViewId="0"/>
  </sheetViews>
  <sheetFormatPr baseColWidth="10" defaultColWidth="12.6640625" defaultRowHeight="15.75" customHeight="1"/>
  <sheetData>
    <row r="1" spans="1:9" ht="15.75" customHeight="1">
      <c r="A1" s="96" t="s">
        <v>69</v>
      </c>
      <c r="B1" s="96" t="s">
        <v>70</v>
      </c>
      <c r="C1" s="96" t="s">
        <v>71</v>
      </c>
      <c r="D1" s="96" t="s">
        <v>72</v>
      </c>
      <c r="E1" s="96" t="s">
        <v>73</v>
      </c>
      <c r="F1" s="96" t="s">
        <v>74</v>
      </c>
      <c r="G1" s="96" t="s">
        <v>74</v>
      </c>
      <c r="H1" s="96" t="s">
        <v>74</v>
      </c>
      <c r="I1" s="96" t="s">
        <v>74</v>
      </c>
    </row>
    <row r="2" spans="1:9" ht="15.75" customHeight="1">
      <c r="A2" s="96">
        <v>2</v>
      </c>
      <c r="B2" s="96">
        <v>3</v>
      </c>
      <c r="C2" s="96" t="s">
        <v>255</v>
      </c>
      <c r="D2" s="96">
        <v>1</v>
      </c>
      <c r="E2" s="96" t="s">
        <v>256</v>
      </c>
      <c r="F2" s="96" t="s">
        <v>257</v>
      </c>
      <c r="G2" s="96" t="s">
        <v>258</v>
      </c>
      <c r="H2" s="96" t="s">
        <v>18</v>
      </c>
      <c r="I2" s="96" t="s">
        <v>96</v>
      </c>
    </row>
    <row r="3" spans="1:9" ht="15.75" customHeight="1">
      <c r="A3" s="96">
        <v>2</v>
      </c>
      <c r="B3" s="96">
        <v>3</v>
      </c>
      <c r="C3" s="96" t="s">
        <v>255</v>
      </c>
      <c r="D3" s="96">
        <v>2</v>
      </c>
      <c r="E3" s="96" t="s">
        <v>259</v>
      </c>
      <c r="F3" s="96" t="s">
        <v>260</v>
      </c>
      <c r="G3" s="96" t="s">
        <v>258</v>
      </c>
      <c r="H3" s="96" t="s">
        <v>18</v>
      </c>
      <c r="I3" s="96" t="s">
        <v>96</v>
      </c>
    </row>
    <row r="4" spans="1:9" ht="15.75" customHeight="1">
      <c r="A4" s="96">
        <v>2</v>
      </c>
      <c r="B4" s="96">
        <v>3</v>
      </c>
      <c r="C4" s="96" t="s">
        <v>255</v>
      </c>
      <c r="D4" s="96">
        <v>3</v>
      </c>
      <c r="E4" s="96" t="s">
        <v>261</v>
      </c>
      <c r="F4" s="96" t="s">
        <v>262</v>
      </c>
      <c r="G4" s="96" t="s">
        <v>258</v>
      </c>
      <c r="H4" s="96" t="s">
        <v>79</v>
      </c>
      <c r="I4" s="96" t="s">
        <v>96</v>
      </c>
    </row>
    <row r="5" spans="1:9" ht="15.75" customHeight="1">
      <c r="A5" s="96">
        <v>2</v>
      </c>
      <c r="B5" s="96">
        <v>3</v>
      </c>
      <c r="C5" s="96" t="s">
        <v>255</v>
      </c>
      <c r="D5" s="96">
        <v>4</v>
      </c>
      <c r="E5" s="96" t="s">
        <v>263</v>
      </c>
      <c r="F5" s="96" t="s">
        <v>264</v>
      </c>
      <c r="G5" s="96" t="s">
        <v>258</v>
      </c>
      <c r="H5" s="96" t="s">
        <v>265</v>
      </c>
      <c r="I5" s="96" t="s">
        <v>96</v>
      </c>
    </row>
    <row r="6" spans="1:9" ht="15.75" customHeight="1">
      <c r="A6" s="96">
        <v>2</v>
      </c>
      <c r="B6" s="96">
        <v>3</v>
      </c>
      <c r="C6" s="96" t="s">
        <v>255</v>
      </c>
      <c r="D6" s="96">
        <v>5</v>
      </c>
      <c r="E6" s="96" t="s">
        <v>266</v>
      </c>
      <c r="F6" s="96" t="s">
        <v>267</v>
      </c>
      <c r="G6" s="96" t="s">
        <v>258</v>
      </c>
      <c r="H6" s="96" t="s">
        <v>265</v>
      </c>
      <c r="I6" s="96" t="s">
        <v>96</v>
      </c>
    </row>
    <row r="7" spans="1:9" ht="15.75" customHeight="1">
      <c r="A7" s="96">
        <v>2</v>
      </c>
      <c r="B7" s="96">
        <v>3</v>
      </c>
      <c r="C7" s="96" t="s">
        <v>255</v>
      </c>
      <c r="D7" s="96">
        <v>6</v>
      </c>
      <c r="E7" s="96" t="s">
        <v>268</v>
      </c>
      <c r="F7" s="96" t="s">
        <v>269</v>
      </c>
      <c r="G7" s="96" t="s">
        <v>258</v>
      </c>
      <c r="H7" s="96" t="s">
        <v>265</v>
      </c>
      <c r="I7" s="96" t="s">
        <v>96</v>
      </c>
    </row>
    <row r="8" spans="1:9" ht="15.75" customHeight="1">
      <c r="A8" s="96">
        <v>2</v>
      </c>
      <c r="B8" s="96">
        <v>3</v>
      </c>
      <c r="C8" s="96" t="s">
        <v>270</v>
      </c>
      <c r="D8" s="96">
        <v>1</v>
      </c>
      <c r="E8" s="96" t="s">
        <v>271</v>
      </c>
      <c r="F8" s="96" t="s">
        <v>272</v>
      </c>
      <c r="G8" s="96" t="s">
        <v>273</v>
      </c>
      <c r="H8" s="96" t="s">
        <v>95</v>
      </c>
      <c r="I8" s="96" t="s">
        <v>54</v>
      </c>
    </row>
    <row r="9" spans="1:9" ht="15.75" customHeight="1">
      <c r="A9" s="96">
        <v>2</v>
      </c>
      <c r="B9" s="96">
        <v>3</v>
      </c>
      <c r="C9" s="96" t="s">
        <v>270</v>
      </c>
      <c r="D9" s="96">
        <v>2</v>
      </c>
      <c r="E9" s="96" t="s">
        <v>274</v>
      </c>
      <c r="F9" s="96" t="s">
        <v>275</v>
      </c>
      <c r="G9" s="96" t="s">
        <v>273</v>
      </c>
      <c r="H9" s="96" t="s">
        <v>95</v>
      </c>
      <c r="I9" s="96" t="s">
        <v>54</v>
      </c>
    </row>
    <row r="10" spans="1:9" ht="15.75" customHeight="1">
      <c r="A10" s="96">
        <v>2</v>
      </c>
      <c r="B10" s="96">
        <v>3</v>
      </c>
      <c r="C10" s="96" t="s">
        <v>270</v>
      </c>
      <c r="D10" s="96">
        <v>3</v>
      </c>
      <c r="E10" s="96" t="s">
        <v>276</v>
      </c>
      <c r="F10" s="96" t="s">
        <v>277</v>
      </c>
      <c r="G10" s="96" t="s">
        <v>273</v>
      </c>
      <c r="H10" s="96" t="s">
        <v>192</v>
      </c>
      <c r="I10" s="96" t="s">
        <v>54</v>
      </c>
    </row>
    <row r="11" spans="1:9" ht="15.75" customHeight="1">
      <c r="A11" s="96">
        <v>2</v>
      </c>
      <c r="B11" s="96">
        <v>3</v>
      </c>
      <c r="C11" s="96" t="s">
        <v>270</v>
      </c>
      <c r="D11" s="96">
        <v>4</v>
      </c>
      <c r="E11" s="96" t="s">
        <v>278</v>
      </c>
      <c r="F11" s="96" t="s">
        <v>279</v>
      </c>
      <c r="G11" s="96" t="s">
        <v>273</v>
      </c>
      <c r="H11" s="96" t="s">
        <v>103</v>
      </c>
      <c r="I11" s="96" t="s">
        <v>54</v>
      </c>
    </row>
    <row r="12" spans="1:9" ht="15.75" customHeight="1">
      <c r="A12" s="96">
        <v>2</v>
      </c>
      <c r="B12" s="96">
        <v>3</v>
      </c>
      <c r="C12" s="96" t="s">
        <v>270</v>
      </c>
      <c r="D12" s="96">
        <v>5</v>
      </c>
      <c r="E12" s="96" t="s">
        <v>280</v>
      </c>
      <c r="F12" s="96" t="s">
        <v>281</v>
      </c>
      <c r="G12" s="96" t="s">
        <v>273</v>
      </c>
      <c r="H12" s="96" t="s">
        <v>103</v>
      </c>
      <c r="I12" s="96" t="s">
        <v>54</v>
      </c>
    </row>
    <row r="13" spans="1:9" ht="15.75" customHeight="1">
      <c r="A13" s="96">
        <v>2</v>
      </c>
      <c r="B13" s="96">
        <v>3</v>
      </c>
      <c r="C13" s="96" t="s">
        <v>270</v>
      </c>
      <c r="D13" s="96">
        <v>6</v>
      </c>
      <c r="E13" s="96" t="s">
        <v>282</v>
      </c>
      <c r="F13" s="96" t="s">
        <v>283</v>
      </c>
      <c r="G13" s="96" t="s">
        <v>273</v>
      </c>
      <c r="H13" s="96" t="s">
        <v>103</v>
      </c>
      <c r="I13" s="96" t="s">
        <v>54</v>
      </c>
    </row>
    <row r="14" spans="1:9" ht="15.75" customHeight="1">
      <c r="A14" s="96">
        <v>2</v>
      </c>
      <c r="B14" s="96">
        <v>3</v>
      </c>
      <c r="C14" s="96" t="s">
        <v>284</v>
      </c>
      <c r="D14" s="96">
        <v>1</v>
      </c>
      <c r="E14" s="96" t="s">
        <v>285</v>
      </c>
      <c r="F14" s="96" t="s">
        <v>286</v>
      </c>
      <c r="G14" s="96" t="s">
        <v>287</v>
      </c>
      <c r="H14" s="96" t="s">
        <v>9</v>
      </c>
      <c r="I14" s="96" t="s">
        <v>54</v>
      </c>
    </row>
    <row r="15" spans="1:9" ht="15.75" customHeight="1">
      <c r="A15" s="96">
        <v>2</v>
      </c>
      <c r="B15" s="96">
        <v>3</v>
      </c>
      <c r="C15" s="96" t="s">
        <v>284</v>
      </c>
      <c r="D15" s="96">
        <v>2</v>
      </c>
      <c r="E15" s="96" t="s">
        <v>288</v>
      </c>
      <c r="F15" s="96" t="s">
        <v>289</v>
      </c>
      <c r="G15" s="96" t="s">
        <v>287</v>
      </c>
      <c r="H15" s="96" t="s">
        <v>95</v>
      </c>
      <c r="I15" s="96" t="s">
        <v>54</v>
      </c>
    </row>
    <row r="16" spans="1:9" ht="15.75" customHeight="1">
      <c r="A16" s="96">
        <v>2</v>
      </c>
      <c r="B16" s="96">
        <v>3</v>
      </c>
      <c r="C16" s="96" t="s">
        <v>284</v>
      </c>
      <c r="D16" s="96">
        <v>3</v>
      </c>
      <c r="E16" s="96" t="s">
        <v>290</v>
      </c>
      <c r="F16" s="96" t="s">
        <v>291</v>
      </c>
      <c r="G16" s="96" t="s">
        <v>287</v>
      </c>
      <c r="H16" s="96" t="s">
        <v>95</v>
      </c>
      <c r="I16" s="96" t="s">
        <v>54</v>
      </c>
    </row>
    <row r="17" spans="1:9" ht="15.75" customHeight="1">
      <c r="A17" s="96">
        <v>2</v>
      </c>
      <c r="B17" s="96">
        <v>3</v>
      </c>
      <c r="C17" s="96" t="s">
        <v>284</v>
      </c>
      <c r="D17" s="96">
        <v>4</v>
      </c>
      <c r="E17" s="96" t="s">
        <v>292</v>
      </c>
      <c r="F17" s="96" t="s">
        <v>293</v>
      </c>
      <c r="G17" s="96" t="s">
        <v>287</v>
      </c>
      <c r="H17" s="96" t="s">
        <v>95</v>
      </c>
      <c r="I17" s="96" t="s">
        <v>54</v>
      </c>
    </row>
    <row r="18" spans="1:9" ht="15.75" customHeight="1">
      <c r="A18" s="96">
        <v>2</v>
      </c>
      <c r="B18" s="96">
        <v>3</v>
      </c>
      <c r="C18" s="96" t="s">
        <v>284</v>
      </c>
      <c r="D18" s="96">
        <v>5</v>
      </c>
      <c r="E18" s="96" t="s">
        <v>294</v>
      </c>
      <c r="F18" s="96" t="s">
        <v>295</v>
      </c>
      <c r="G18" s="96" t="s">
        <v>287</v>
      </c>
      <c r="H18" s="96" t="s">
        <v>103</v>
      </c>
      <c r="I18" s="96" t="s">
        <v>54</v>
      </c>
    </row>
    <row r="19" spans="1:9" ht="15.75" customHeight="1">
      <c r="A19" s="96">
        <v>2</v>
      </c>
      <c r="B19" s="96">
        <v>3</v>
      </c>
      <c r="C19" s="96" t="s">
        <v>284</v>
      </c>
      <c r="D19" s="96">
        <v>6</v>
      </c>
      <c r="E19" s="96" t="s">
        <v>296</v>
      </c>
      <c r="F19" s="96" t="s">
        <v>297</v>
      </c>
      <c r="G19" s="96" t="s">
        <v>287</v>
      </c>
      <c r="H19" s="96" t="s">
        <v>298</v>
      </c>
      <c r="I19" s="96" t="s">
        <v>54</v>
      </c>
    </row>
    <row r="20" spans="1:9" ht="15.75" customHeight="1">
      <c r="A20" s="96">
        <v>2</v>
      </c>
      <c r="B20" s="96">
        <v>3</v>
      </c>
      <c r="C20" s="96" t="s">
        <v>299</v>
      </c>
      <c r="D20" s="96">
        <v>1</v>
      </c>
      <c r="E20" s="96" t="s">
        <v>300</v>
      </c>
      <c r="F20" s="96" t="s">
        <v>301</v>
      </c>
      <c r="G20" s="96">
        <v>2.6</v>
      </c>
      <c r="H20" s="96" t="s">
        <v>12</v>
      </c>
      <c r="I20" s="96" t="s">
        <v>96</v>
      </c>
    </row>
    <row r="21" spans="1:9" ht="15.75" customHeight="1">
      <c r="A21" s="96">
        <v>2</v>
      </c>
      <c r="B21" s="96">
        <v>3</v>
      </c>
      <c r="C21" s="96" t="s">
        <v>299</v>
      </c>
      <c r="D21" s="96">
        <v>2</v>
      </c>
      <c r="E21" s="96" t="s">
        <v>302</v>
      </c>
      <c r="F21" s="96" t="s">
        <v>303</v>
      </c>
      <c r="G21" s="96">
        <v>2.6</v>
      </c>
      <c r="H21" s="96" t="s">
        <v>12</v>
      </c>
      <c r="I21" s="96" t="s">
        <v>96</v>
      </c>
    </row>
    <row r="22" spans="1:9" ht="15.75" customHeight="1">
      <c r="A22" s="96">
        <v>2</v>
      </c>
      <c r="B22" s="96">
        <v>3</v>
      </c>
      <c r="C22" s="96" t="s">
        <v>299</v>
      </c>
      <c r="D22" s="96">
        <v>3</v>
      </c>
      <c r="E22" s="96" t="s">
        <v>304</v>
      </c>
      <c r="F22" s="96" t="s">
        <v>305</v>
      </c>
      <c r="G22" s="96">
        <v>2.6</v>
      </c>
      <c r="H22" s="96" t="s">
        <v>217</v>
      </c>
      <c r="I22" s="96" t="s">
        <v>96</v>
      </c>
    </row>
    <row r="23" spans="1:9" ht="15.75" customHeight="1">
      <c r="A23" s="96">
        <v>2</v>
      </c>
      <c r="B23" s="96">
        <v>3</v>
      </c>
      <c r="C23" s="96" t="s">
        <v>299</v>
      </c>
      <c r="D23" s="96">
        <v>4</v>
      </c>
      <c r="E23" s="96" t="s">
        <v>306</v>
      </c>
      <c r="F23" s="96" t="s">
        <v>307</v>
      </c>
      <c r="G23" s="96">
        <v>2.6</v>
      </c>
      <c r="H23" s="96" t="s">
        <v>308</v>
      </c>
      <c r="I23" s="96" t="s">
        <v>96</v>
      </c>
    </row>
    <row r="24" spans="1:9" ht="15.75" customHeight="1">
      <c r="A24" s="96">
        <v>2</v>
      </c>
      <c r="B24" s="96">
        <v>3</v>
      </c>
      <c r="C24" s="96" t="s">
        <v>299</v>
      </c>
      <c r="D24" s="96">
        <v>5</v>
      </c>
      <c r="E24" s="96" t="s">
        <v>309</v>
      </c>
      <c r="F24" s="96" t="s">
        <v>310</v>
      </c>
      <c r="G24" s="96">
        <v>2.6</v>
      </c>
      <c r="H24" s="96" t="s">
        <v>217</v>
      </c>
      <c r="I24" s="96" t="s">
        <v>96</v>
      </c>
    </row>
    <row r="25" spans="1:9" ht="15.75" customHeight="1">
      <c r="A25" s="96">
        <v>2</v>
      </c>
      <c r="B25" s="96">
        <v>3</v>
      </c>
      <c r="C25" s="96" t="s">
        <v>299</v>
      </c>
      <c r="D25" s="96">
        <v>6</v>
      </c>
      <c r="E25" s="96" t="s">
        <v>311</v>
      </c>
      <c r="F25" s="96" t="s">
        <v>312</v>
      </c>
      <c r="G25" s="96">
        <v>2.6</v>
      </c>
      <c r="H25" s="96" t="s">
        <v>313</v>
      </c>
      <c r="I25" s="96" t="s">
        <v>96</v>
      </c>
    </row>
    <row r="26" spans="1:9" ht="15.75" customHeight="1">
      <c r="A26" s="96">
        <v>2</v>
      </c>
      <c r="B26" s="96">
        <v>3</v>
      </c>
      <c r="C26" s="96" t="s">
        <v>314</v>
      </c>
      <c r="D26" s="96">
        <v>1</v>
      </c>
      <c r="E26" s="96" t="s">
        <v>315</v>
      </c>
      <c r="F26" s="96" t="s">
        <v>316</v>
      </c>
      <c r="G26" s="96" t="s">
        <v>317</v>
      </c>
      <c r="H26" s="96" t="s">
        <v>318</v>
      </c>
      <c r="I26" s="96" t="s">
        <v>96</v>
      </c>
    </row>
    <row r="27" spans="1:9" ht="15.75" customHeight="1">
      <c r="A27" s="96">
        <v>2</v>
      </c>
      <c r="B27" s="96">
        <v>3</v>
      </c>
      <c r="C27" s="96" t="s">
        <v>314</v>
      </c>
      <c r="D27" s="96">
        <v>2</v>
      </c>
      <c r="E27" s="96" t="s">
        <v>319</v>
      </c>
      <c r="F27" s="96" t="s">
        <v>320</v>
      </c>
      <c r="G27" s="96" t="s">
        <v>317</v>
      </c>
      <c r="H27" s="96" t="s">
        <v>27</v>
      </c>
      <c r="I27" s="96" t="s">
        <v>96</v>
      </c>
    </row>
    <row r="28" spans="1:9" ht="15.75" customHeight="1">
      <c r="A28" s="96">
        <v>2</v>
      </c>
      <c r="B28" s="96">
        <v>3</v>
      </c>
      <c r="C28" s="96" t="s">
        <v>314</v>
      </c>
      <c r="D28" s="96">
        <v>3</v>
      </c>
      <c r="E28" s="96" t="s">
        <v>321</v>
      </c>
      <c r="F28" s="96" t="s">
        <v>322</v>
      </c>
      <c r="G28" s="96" t="s">
        <v>317</v>
      </c>
      <c r="H28" s="96" t="s">
        <v>27</v>
      </c>
      <c r="I28" s="96" t="s">
        <v>96</v>
      </c>
    </row>
    <row r="29" spans="1:9" ht="15.75" customHeight="1">
      <c r="A29" s="96">
        <v>2</v>
      </c>
      <c r="B29" s="96">
        <v>3</v>
      </c>
      <c r="C29" s="96" t="s">
        <v>314</v>
      </c>
      <c r="D29" s="96">
        <v>4</v>
      </c>
      <c r="E29" s="96" t="s">
        <v>323</v>
      </c>
      <c r="F29" s="96" t="s">
        <v>324</v>
      </c>
      <c r="G29" s="96" t="s">
        <v>317</v>
      </c>
      <c r="H29" s="96" t="s">
        <v>27</v>
      </c>
      <c r="I29" s="96" t="s">
        <v>96</v>
      </c>
    </row>
    <row r="30" spans="1:9" ht="15.75" customHeight="1">
      <c r="A30" s="96">
        <v>2</v>
      </c>
      <c r="B30" s="96">
        <v>3</v>
      </c>
      <c r="C30" s="96" t="s">
        <v>314</v>
      </c>
      <c r="D30" s="96">
        <v>5</v>
      </c>
      <c r="E30" s="96" t="s">
        <v>325</v>
      </c>
      <c r="F30" s="96" t="s">
        <v>326</v>
      </c>
      <c r="G30" s="96" t="s">
        <v>317</v>
      </c>
      <c r="H30" s="96" t="s">
        <v>163</v>
      </c>
      <c r="I30" s="96" t="s">
        <v>96</v>
      </c>
    </row>
    <row r="31" spans="1:9" ht="15.75" customHeight="1">
      <c r="A31" s="96">
        <v>2</v>
      </c>
      <c r="B31" s="96">
        <v>3</v>
      </c>
      <c r="C31" s="96" t="s">
        <v>314</v>
      </c>
      <c r="D31" s="96">
        <v>6</v>
      </c>
      <c r="E31" s="96" t="s">
        <v>327</v>
      </c>
      <c r="F31" s="96" t="s">
        <v>328</v>
      </c>
      <c r="G31" s="96" t="s">
        <v>317</v>
      </c>
      <c r="H31" s="96" t="s">
        <v>329</v>
      </c>
      <c r="I31" s="96" t="s">
        <v>96</v>
      </c>
    </row>
    <row r="32" spans="1:9" ht="15.75" customHeight="1">
      <c r="A32" s="96">
        <v>2</v>
      </c>
      <c r="B32" s="96">
        <v>3</v>
      </c>
      <c r="C32" s="96" t="s">
        <v>330</v>
      </c>
      <c r="D32" s="96">
        <v>1</v>
      </c>
      <c r="E32" s="96" t="s">
        <v>331</v>
      </c>
      <c r="F32" s="96" t="s">
        <v>332</v>
      </c>
      <c r="G32" s="96" t="s">
        <v>317</v>
      </c>
      <c r="H32" s="96" t="s">
        <v>318</v>
      </c>
      <c r="I32" s="96" t="s">
        <v>96</v>
      </c>
    </row>
    <row r="33" spans="1:9" ht="15.75" customHeight="1">
      <c r="A33" s="96">
        <v>2</v>
      </c>
      <c r="B33" s="96">
        <v>3</v>
      </c>
      <c r="C33" s="96" t="s">
        <v>330</v>
      </c>
      <c r="D33" s="96">
        <v>2</v>
      </c>
      <c r="E33" s="96" t="s">
        <v>333</v>
      </c>
      <c r="F33" s="96" t="s">
        <v>334</v>
      </c>
      <c r="G33" s="96" t="s">
        <v>317</v>
      </c>
      <c r="H33" s="96" t="s">
        <v>318</v>
      </c>
      <c r="I33" s="96" t="s">
        <v>96</v>
      </c>
    </row>
    <row r="34" spans="1:9" ht="15.75" customHeight="1">
      <c r="A34" s="96">
        <v>2</v>
      </c>
      <c r="B34" s="96">
        <v>3</v>
      </c>
      <c r="C34" s="96" t="s">
        <v>330</v>
      </c>
      <c r="D34" s="96">
        <v>3</v>
      </c>
      <c r="E34" s="96" t="s">
        <v>335</v>
      </c>
      <c r="F34" s="96" t="s">
        <v>336</v>
      </c>
      <c r="G34" s="96" t="s">
        <v>317</v>
      </c>
      <c r="H34" s="96" t="s">
        <v>27</v>
      </c>
      <c r="I34" s="96" t="s">
        <v>96</v>
      </c>
    </row>
    <row r="35" spans="1:9" ht="15.75" customHeight="1">
      <c r="A35" s="96">
        <v>2</v>
      </c>
      <c r="B35" s="96">
        <v>3</v>
      </c>
      <c r="C35" s="96" t="s">
        <v>330</v>
      </c>
      <c r="D35" s="96">
        <v>4</v>
      </c>
      <c r="E35" s="96" t="s">
        <v>337</v>
      </c>
      <c r="F35" s="96" t="s">
        <v>338</v>
      </c>
      <c r="G35" s="96" t="s">
        <v>317</v>
      </c>
      <c r="H35" s="96" t="s">
        <v>27</v>
      </c>
      <c r="I35" s="96" t="s">
        <v>96</v>
      </c>
    </row>
    <row r="36" spans="1:9" ht="15.75" customHeight="1">
      <c r="A36" s="96">
        <v>2</v>
      </c>
      <c r="B36" s="96">
        <v>3</v>
      </c>
      <c r="C36" s="96" t="s">
        <v>330</v>
      </c>
      <c r="D36" s="96">
        <v>5</v>
      </c>
      <c r="E36" s="96" t="s">
        <v>339</v>
      </c>
      <c r="F36" s="96" t="s">
        <v>340</v>
      </c>
      <c r="G36" s="96" t="s">
        <v>317</v>
      </c>
      <c r="H36" s="96" t="s">
        <v>163</v>
      </c>
      <c r="I36" s="96" t="s">
        <v>96</v>
      </c>
    </row>
    <row r="37" spans="1:9" ht="15.75" customHeight="1">
      <c r="A37" s="96">
        <v>2</v>
      </c>
      <c r="B37" s="96">
        <v>3</v>
      </c>
      <c r="C37" s="96" t="s">
        <v>330</v>
      </c>
      <c r="D37" s="96">
        <v>6</v>
      </c>
      <c r="E37" s="96" t="s">
        <v>341</v>
      </c>
      <c r="F37" s="96" t="s">
        <v>342</v>
      </c>
      <c r="G37" s="96" t="s">
        <v>317</v>
      </c>
      <c r="H37" s="96" t="s">
        <v>163</v>
      </c>
      <c r="I37" s="96" t="s">
        <v>96</v>
      </c>
    </row>
    <row r="38" spans="1:9" ht="15.75" customHeight="1">
      <c r="A38" s="96">
        <v>2</v>
      </c>
      <c r="B38" s="96">
        <v>4</v>
      </c>
      <c r="C38" s="96" t="s">
        <v>343</v>
      </c>
      <c r="D38" s="96">
        <v>1</v>
      </c>
      <c r="E38" s="96" t="s">
        <v>344</v>
      </c>
      <c r="F38" s="96" t="s">
        <v>345</v>
      </c>
      <c r="G38" s="96" t="s">
        <v>346</v>
      </c>
      <c r="H38" s="96" t="s">
        <v>347</v>
      </c>
      <c r="I38" s="96" t="s">
        <v>348</v>
      </c>
    </row>
    <row r="39" spans="1:9" ht="15.75" customHeight="1">
      <c r="A39" s="96">
        <v>2</v>
      </c>
      <c r="B39" s="96">
        <v>4</v>
      </c>
      <c r="C39" s="96" t="s">
        <v>343</v>
      </c>
      <c r="D39" s="96">
        <v>2</v>
      </c>
      <c r="E39" s="96" t="s">
        <v>349</v>
      </c>
      <c r="F39" s="96" t="s">
        <v>350</v>
      </c>
      <c r="G39" s="96" t="s">
        <v>346</v>
      </c>
      <c r="H39" s="96" t="s">
        <v>6</v>
      </c>
      <c r="I39" s="96" t="s">
        <v>348</v>
      </c>
    </row>
    <row r="40" spans="1:9" ht="15.75" customHeight="1">
      <c r="A40" s="96">
        <v>2</v>
      </c>
      <c r="B40" s="96">
        <v>4</v>
      </c>
      <c r="C40" s="96" t="s">
        <v>343</v>
      </c>
      <c r="D40" s="96">
        <v>3</v>
      </c>
      <c r="E40" s="96" t="s">
        <v>351</v>
      </c>
      <c r="F40" s="96" t="s">
        <v>352</v>
      </c>
      <c r="G40" s="96" t="s">
        <v>346</v>
      </c>
      <c r="H40" s="96" t="s">
        <v>6</v>
      </c>
      <c r="I40" s="96" t="s">
        <v>348</v>
      </c>
    </row>
    <row r="41" spans="1:9" ht="15.75" customHeight="1">
      <c r="A41" s="96">
        <v>2</v>
      </c>
      <c r="B41" s="96">
        <v>4</v>
      </c>
      <c r="C41" s="96" t="s">
        <v>343</v>
      </c>
      <c r="D41" s="96">
        <v>4</v>
      </c>
      <c r="E41" s="96" t="s">
        <v>353</v>
      </c>
      <c r="F41" s="96" t="s">
        <v>354</v>
      </c>
      <c r="G41" s="96" t="s">
        <v>346</v>
      </c>
      <c r="H41" s="96" t="s">
        <v>355</v>
      </c>
      <c r="I41" s="96" t="s">
        <v>348</v>
      </c>
    </row>
    <row r="42" spans="1:9" ht="15.75" customHeight="1">
      <c r="A42" s="96">
        <v>2</v>
      </c>
      <c r="B42" s="96">
        <v>4</v>
      </c>
      <c r="C42" s="96" t="s">
        <v>343</v>
      </c>
      <c r="D42" s="96">
        <v>5</v>
      </c>
      <c r="E42" s="96" t="s">
        <v>356</v>
      </c>
      <c r="F42" s="96" t="s">
        <v>357</v>
      </c>
      <c r="G42" s="96" t="s">
        <v>346</v>
      </c>
      <c r="H42" s="96" t="s">
        <v>6</v>
      </c>
      <c r="I42" s="96" t="s">
        <v>348</v>
      </c>
    </row>
    <row r="43" spans="1:9" ht="15.75" customHeight="1">
      <c r="A43" s="96">
        <v>2</v>
      </c>
      <c r="B43" s="96">
        <v>4</v>
      </c>
      <c r="C43" s="96" t="s">
        <v>343</v>
      </c>
      <c r="D43" s="96">
        <v>6</v>
      </c>
      <c r="E43" s="96" t="s">
        <v>358</v>
      </c>
      <c r="F43" s="96" t="s">
        <v>359</v>
      </c>
      <c r="G43" s="96" t="s">
        <v>346</v>
      </c>
      <c r="H43" s="96" t="s">
        <v>360</v>
      </c>
      <c r="I43" s="96" t="s">
        <v>348</v>
      </c>
    </row>
    <row r="44" spans="1:9" ht="15.75" customHeight="1">
      <c r="A44" s="96">
        <v>2</v>
      </c>
      <c r="B44" s="96">
        <v>4</v>
      </c>
      <c r="C44" s="96" t="s">
        <v>361</v>
      </c>
      <c r="D44" s="96">
        <v>1</v>
      </c>
      <c r="E44" s="96" t="s">
        <v>362</v>
      </c>
      <c r="F44" s="96" t="s">
        <v>363</v>
      </c>
      <c r="G44" s="96" t="s">
        <v>364</v>
      </c>
      <c r="H44" s="96" t="s">
        <v>365</v>
      </c>
      <c r="I44" s="96" t="s">
        <v>50</v>
      </c>
    </row>
    <row r="45" spans="1:9" ht="15.75" customHeight="1">
      <c r="A45" s="96">
        <v>2</v>
      </c>
      <c r="B45" s="96">
        <v>4</v>
      </c>
      <c r="C45" s="96" t="s">
        <v>361</v>
      </c>
      <c r="D45" s="96">
        <v>2</v>
      </c>
      <c r="E45" s="96" t="s">
        <v>366</v>
      </c>
      <c r="F45" s="96" t="s">
        <v>367</v>
      </c>
      <c r="G45" s="96" t="s">
        <v>364</v>
      </c>
      <c r="H45" s="96" t="s">
        <v>368</v>
      </c>
      <c r="I45" s="96" t="s">
        <v>50</v>
      </c>
    </row>
    <row r="46" spans="1:9" ht="15.75" customHeight="1">
      <c r="A46" s="96">
        <v>2</v>
      </c>
      <c r="B46" s="96">
        <v>4</v>
      </c>
      <c r="C46" s="96" t="s">
        <v>361</v>
      </c>
      <c r="D46" s="96">
        <v>3</v>
      </c>
      <c r="E46" s="96" t="s">
        <v>369</v>
      </c>
      <c r="F46" s="96" t="s">
        <v>370</v>
      </c>
      <c r="G46" s="96" t="s">
        <v>364</v>
      </c>
      <c r="H46" s="96" t="s">
        <v>371</v>
      </c>
      <c r="I46" s="96" t="s">
        <v>50</v>
      </c>
    </row>
    <row r="47" spans="1:9" ht="15.75" customHeight="1">
      <c r="A47" s="96">
        <v>2</v>
      </c>
      <c r="B47" s="96">
        <v>4</v>
      </c>
      <c r="C47" s="96" t="s">
        <v>361</v>
      </c>
      <c r="D47" s="96">
        <v>4</v>
      </c>
      <c r="E47" s="96" t="s">
        <v>372</v>
      </c>
      <c r="F47" s="96" t="s">
        <v>373</v>
      </c>
      <c r="G47" s="96" t="s">
        <v>364</v>
      </c>
      <c r="H47" s="96" t="s">
        <v>95</v>
      </c>
      <c r="I47" s="96" t="s">
        <v>50</v>
      </c>
    </row>
    <row r="48" spans="1:9" ht="13">
      <c r="A48" s="96">
        <v>2</v>
      </c>
      <c r="B48" s="96">
        <v>4</v>
      </c>
      <c r="C48" s="96" t="s">
        <v>361</v>
      </c>
      <c r="D48" s="96">
        <v>5</v>
      </c>
      <c r="E48" s="96" t="s">
        <v>374</v>
      </c>
      <c r="F48" s="96" t="s">
        <v>375</v>
      </c>
      <c r="G48" s="96" t="s">
        <v>364</v>
      </c>
      <c r="H48" s="96" t="s">
        <v>95</v>
      </c>
      <c r="I48" s="96" t="s">
        <v>50</v>
      </c>
    </row>
    <row r="49" spans="1:9" ht="13">
      <c r="A49" s="96">
        <v>2</v>
      </c>
      <c r="B49" s="96">
        <v>4</v>
      </c>
      <c r="C49" s="96" t="s">
        <v>361</v>
      </c>
      <c r="D49" s="96">
        <v>6</v>
      </c>
      <c r="E49" s="96" t="s">
        <v>376</v>
      </c>
      <c r="F49" s="96" t="s">
        <v>377</v>
      </c>
      <c r="G49" s="96" t="s">
        <v>364</v>
      </c>
      <c r="H49" s="96" t="s">
        <v>192</v>
      </c>
      <c r="I49" s="96" t="s">
        <v>50</v>
      </c>
    </row>
    <row r="50" spans="1:9" ht="13">
      <c r="A50" s="96">
        <v>2</v>
      </c>
      <c r="B50" s="96">
        <v>4</v>
      </c>
      <c r="C50" s="96" t="s">
        <v>378</v>
      </c>
      <c r="D50" s="96">
        <v>1</v>
      </c>
      <c r="E50" s="96" t="s">
        <v>379</v>
      </c>
      <c r="F50" s="96" t="s">
        <v>380</v>
      </c>
      <c r="G50" s="96" t="s">
        <v>364</v>
      </c>
      <c r="H50" s="96" t="s">
        <v>95</v>
      </c>
      <c r="I50" s="96" t="s">
        <v>55</v>
      </c>
    </row>
    <row r="51" spans="1:9" ht="13">
      <c r="A51" s="96">
        <v>2</v>
      </c>
      <c r="B51" s="96">
        <v>4</v>
      </c>
      <c r="C51" s="96" t="s">
        <v>378</v>
      </c>
      <c r="D51" s="96">
        <v>2</v>
      </c>
      <c r="E51" s="96" t="s">
        <v>381</v>
      </c>
      <c r="F51" s="96" t="s">
        <v>382</v>
      </c>
      <c r="G51" s="96" t="s">
        <v>364</v>
      </c>
      <c r="H51" s="96" t="s">
        <v>383</v>
      </c>
      <c r="I51" s="96" t="s">
        <v>55</v>
      </c>
    </row>
    <row r="52" spans="1:9" ht="13">
      <c r="A52" s="96">
        <v>2</v>
      </c>
      <c r="B52" s="96">
        <v>4</v>
      </c>
      <c r="C52" s="96" t="s">
        <v>378</v>
      </c>
      <c r="D52" s="96">
        <v>3</v>
      </c>
      <c r="E52" s="96" t="s">
        <v>384</v>
      </c>
      <c r="F52" s="96" t="s">
        <v>385</v>
      </c>
      <c r="G52" s="96" t="s">
        <v>364</v>
      </c>
      <c r="H52" s="96" t="s">
        <v>103</v>
      </c>
      <c r="I52" s="96" t="s">
        <v>55</v>
      </c>
    </row>
    <row r="53" spans="1:9" ht="13">
      <c r="A53" s="96">
        <v>2</v>
      </c>
      <c r="B53" s="96">
        <v>4</v>
      </c>
      <c r="C53" s="96" t="s">
        <v>378</v>
      </c>
      <c r="D53" s="96">
        <v>4</v>
      </c>
      <c r="E53" s="96" t="s">
        <v>386</v>
      </c>
      <c r="F53" s="96" t="s">
        <v>387</v>
      </c>
      <c r="G53" s="96" t="s">
        <v>364</v>
      </c>
      <c r="H53" s="96" t="s">
        <v>95</v>
      </c>
      <c r="I53" s="96" t="s">
        <v>55</v>
      </c>
    </row>
    <row r="54" spans="1:9" ht="13">
      <c r="A54" s="96">
        <v>2</v>
      </c>
      <c r="B54" s="96">
        <v>4</v>
      </c>
      <c r="C54" s="96" t="s">
        <v>378</v>
      </c>
      <c r="D54" s="96">
        <v>5</v>
      </c>
      <c r="E54" s="96" t="s">
        <v>388</v>
      </c>
      <c r="F54" s="96" t="s">
        <v>389</v>
      </c>
      <c r="G54" s="96" t="s">
        <v>364</v>
      </c>
      <c r="H54" s="96" t="s">
        <v>390</v>
      </c>
      <c r="I54" s="96" t="s">
        <v>55</v>
      </c>
    </row>
    <row r="55" spans="1:9" ht="13">
      <c r="A55" s="96">
        <v>2</v>
      </c>
      <c r="B55" s="96">
        <v>4</v>
      </c>
      <c r="C55" s="96" t="s">
        <v>378</v>
      </c>
      <c r="D55" s="96">
        <v>6</v>
      </c>
      <c r="E55" s="96" t="s">
        <v>391</v>
      </c>
      <c r="F55" s="96" t="s">
        <v>392</v>
      </c>
      <c r="G55" s="96" t="s">
        <v>364</v>
      </c>
      <c r="H55" s="96" t="s">
        <v>103</v>
      </c>
      <c r="I55" s="96" t="s">
        <v>55</v>
      </c>
    </row>
    <row r="56" spans="1:9" ht="13">
      <c r="A56" s="96">
        <v>2</v>
      </c>
      <c r="B56" s="96">
        <v>4</v>
      </c>
      <c r="C56" s="96" t="s">
        <v>393</v>
      </c>
      <c r="D56" s="96">
        <v>1</v>
      </c>
      <c r="E56" s="96" t="s">
        <v>394</v>
      </c>
      <c r="F56" s="96" t="s">
        <v>395</v>
      </c>
      <c r="G56" s="96" t="s">
        <v>396</v>
      </c>
      <c r="H56" s="96" t="s">
        <v>12</v>
      </c>
      <c r="I56" s="96" t="s">
        <v>96</v>
      </c>
    </row>
    <row r="57" spans="1:9" ht="13">
      <c r="A57" s="96">
        <v>2</v>
      </c>
      <c r="B57" s="96">
        <v>4</v>
      </c>
      <c r="C57" s="96" t="s">
        <v>393</v>
      </c>
      <c r="D57" s="96">
        <v>2</v>
      </c>
      <c r="E57" s="96" t="s">
        <v>397</v>
      </c>
      <c r="F57" s="96" t="s">
        <v>398</v>
      </c>
      <c r="G57" s="96" t="s">
        <v>396</v>
      </c>
      <c r="H57" s="96" t="s">
        <v>399</v>
      </c>
      <c r="I57" s="96" t="s">
        <v>96</v>
      </c>
    </row>
    <row r="58" spans="1:9" ht="13">
      <c r="A58" s="96">
        <v>2</v>
      </c>
      <c r="B58" s="96">
        <v>4</v>
      </c>
      <c r="C58" s="96" t="s">
        <v>393</v>
      </c>
      <c r="D58" s="96">
        <v>3</v>
      </c>
      <c r="E58" s="96" t="s">
        <v>400</v>
      </c>
      <c r="F58" s="96" t="s">
        <v>401</v>
      </c>
      <c r="G58" s="96" t="s">
        <v>396</v>
      </c>
      <c r="H58" s="96" t="s">
        <v>399</v>
      </c>
      <c r="I58" s="96" t="s">
        <v>96</v>
      </c>
    </row>
    <row r="59" spans="1:9" ht="13">
      <c r="A59" s="96">
        <v>2</v>
      </c>
      <c r="B59" s="96">
        <v>4</v>
      </c>
      <c r="C59" s="96" t="s">
        <v>393</v>
      </c>
      <c r="D59" s="96">
        <v>4</v>
      </c>
      <c r="E59" s="96" t="s">
        <v>402</v>
      </c>
      <c r="F59" s="96" t="s">
        <v>403</v>
      </c>
      <c r="G59" s="96" t="s">
        <v>396</v>
      </c>
      <c r="H59" s="96" t="s">
        <v>217</v>
      </c>
      <c r="I59" s="96" t="s">
        <v>96</v>
      </c>
    </row>
    <row r="60" spans="1:9" ht="13">
      <c r="A60" s="96">
        <v>2</v>
      </c>
      <c r="B60" s="96">
        <v>4</v>
      </c>
      <c r="C60" s="96" t="s">
        <v>393</v>
      </c>
      <c r="D60" s="96">
        <v>5</v>
      </c>
      <c r="E60" s="96" t="s">
        <v>404</v>
      </c>
      <c r="F60" s="96" t="s">
        <v>405</v>
      </c>
      <c r="G60" s="96" t="s">
        <v>396</v>
      </c>
      <c r="H60" s="96" t="s">
        <v>399</v>
      </c>
      <c r="I60" s="96" t="s">
        <v>96</v>
      </c>
    </row>
    <row r="61" spans="1:9" ht="13">
      <c r="A61" s="96">
        <v>2</v>
      </c>
      <c r="B61" s="96">
        <v>4</v>
      </c>
      <c r="C61" s="96" t="s">
        <v>393</v>
      </c>
      <c r="D61" s="96">
        <v>6</v>
      </c>
      <c r="E61" s="96" t="s">
        <v>406</v>
      </c>
      <c r="F61" s="96" t="s">
        <v>407</v>
      </c>
      <c r="G61" s="96" t="s">
        <v>396</v>
      </c>
      <c r="H61" s="96" t="s">
        <v>365</v>
      </c>
      <c r="I61" s="96" t="s">
        <v>96</v>
      </c>
    </row>
    <row r="62" spans="1:9" ht="13">
      <c r="A62" s="96">
        <v>2</v>
      </c>
      <c r="B62" s="96">
        <v>4</v>
      </c>
      <c r="C62" s="96" t="s">
        <v>408</v>
      </c>
      <c r="D62" s="96">
        <v>1</v>
      </c>
      <c r="E62" s="96" t="s">
        <v>409</v>
      </c>
      <c r="F62" s="96" t="s">
        <v>410</v>
      </c>
      <c r="G62" s="96" t="s">
        <v>317</v>
      </c>
      <c r="H62" s="96" t="s">
        <v>234</v>
      </c>
      <c r="I62" s="96" t="s">
        <v>96</v>
      </c>
    </row>
    <row r="63" spans="1:9" ht="13">
      <c r="A63" s="96">
        <v>2</v>
      </c>
      <c r="B63" s="96">
        <v>4</v>
      </c>
      <c r="C63" s="96" t="s">
        <v>408</v>
      </c>
      <c r="D63" s="96">
        <v>2</v>
      </c>
      <c r="E63" s="96" t="s">
        <v>411</v>
      </c>
      <c r="F63" s="96" t="s">
        <v>412</v>
      </c>
      <c r="G63" s="96" t="s">
        <v>317</v>
      </c>
      <c r="H63" s="96" t="s">
        <v>318</v>
      </c>
      <c r="I63" s="96" t="s">
        <v>96</v>
      </c>
    </row>
    <row r="64" spans="1:9" ht="13">
      <c r="A64" s="96">
        <v>2</v>
      </c>
      <c r="B64" s="96">
        <v>4</v>
      </c>
      <c r="C64" s="96" t="s">
        <v>408</v>
      </c>
      <c r="D64" s="96">
        <v>3</v>
      </c>
      <c r="E64" s="96" t="s">
        <v>413</v>
      </c>
      <c r="F64" s="96" t="s">
        <v>414</v>
      </c>
      <c r="G64" s="96" t="s">
        <v>317</v>
      </c>
      <c r="H64" s="96" t="s">
        <v>234</v>
      </c>
      <c r="I64" s="96" t="s">
        <v>96</v>
      </c>
    </row>
    <row r="65" spans="1:9" ht="13">
      <c r="A65" s="96">
        <v>2</v>
      </c>
      <c r="B65" s="96">
        <v>4</v>
      </c>
      <c r="C65" s="96" t="s">
        <v>408</v>
      </c>
      <c r="D65" s="96">
        <v>4</v>
      </c>
      <c r="E65" s="96" t="s">
        <v>415</v>
      </c>
      <c r="F65" s="96" t="s">
        <v>416</v>
      </c>
      <c r="G65" s="96" t="s">
        <v>317</v>
      </c>
      <c r="H65" s="96" t="s">
        <v>27</v>
      </c>
      <c r="I65" s="96" t="s">
        <v>96</v>
      </c>
    </row>
    <row r="66" spans="1:9" ht="13">
      <c r="A66" s="96">
        <v>2</v>
      </c>
      <c r="B66" s="96">
        <v>4</v>
      </c>
      <c r="C66" s="96" t="s">
        <v>408</v>
      </c>
      <c r="D66" s="96">
        <v>5</v>
      </c>
      <c r="E66" s="96" t="s">
        <v>417</v>
      </c>
      <c r="F66" s="96" t="s">
        <v>418</v>
      </c>
      <c r="G66" s="96" t="s">
        <v>317</v>
      </c>
      <c r="H66" s="96" t="s">
        <v>234</v>
      </c>
      <c r="I66" s="96" t="s">
        <v>96</v>
      </c>
    </row>
    <row r="67" spans="1:9" ht="13">
      <c r="A67" s="96">
        <v>2</v>
      </c>
      <c r="B67" s="96">
        <v>4</v>
      </c>
      <c r="C67" s="96" t="s">
        <v>408</v>
      </c>
      <c r="D67" s="96">
        <v>6</v>
      </c>
      <c r="E67" s="96" t="s">
        <v>419</v>
      </c>
      <c r="F67" s="96" t="s">
        <v>420</v>
      </c>
      <c r="G67" s="96" t="s">
        <v>317</v>
      </c>
      <c r="H67" s="96" t="s">
        <v>27</v>
      </c>
      <c r="I67" s="96" t="s">
        <v>96</v>
      </c>
    </row>
    <row r="68" spans="1:9" ht="13">
      <c r="A68" s="96">
        <v>2</v>
      </c>
      <c r="B68" s="96">
        <v>4</v>
      </c>
      <c r="C68" s="96" t="s">
        <v>421</v>
      </c>
      <c r="D68" s="96">
        <v>1</v>
      </c>
      <c r="E68" s="96" t="s">
        <v>422</v>
      </c>
      <c r="F68" s="96" t="s">
        <v>423</v>
      </c>
      <c r="G68" s="96" t="s">
        <v>424</v>
      </c>
      <c r="H68" s="96" t="s">
        <v>163</v>
      </c>
      <c r="I68" s="96" t="s">
        <v>96</v>
      </c>
    </row>
    <row r="69" spans="1:9" ht="13">
      <c r="A69" s="96">
        <v>2</v>
      </c>
      <c r="B69" s="96">
        <v>4</v>
      </c>
      <c r="C69" s="96" t="s">
        <v>421</v>
      </c>
      <c r="D69" s="96">
        <v>2</v>
      </c>
      <c r="E69" s="96" t="s">
        <v>425</v>
      </c>
      <c r="F69" s="96" t="s">
        <v>426</v>
      </c>
      <c r="G69" s="96" t="s">
        <v>424</v>
      </c>
      <c r="H69" s="96" t="s">
        <v>234</v>
      </c>
      <c r="I69" s="96" t="s">
        <v>96</v>
      </c>
    </row>
    <row r="70" spans="1:9" ht="13">
      <c r="A70" s="96">
        <v>2</v>
      </c>
      <c r="B70" s="96">
        <v>4</v>
      </c>
      <c r="C70" s="96" t="s">
        <v>421</v>
      </c>
      <c r="D70" s="96">
        <v>3</v>
      </c>
      <c r="E70" s="96" t="s">
        <v>427</v>
      </c>
      <c r="F70" s="96" t="s">
        <v>428</v>
      </c>
      <c r="G70" s="96" t="s">
        <v>424</v>
      </c>
      <c r="H70" s="96" t="s">
        <v>163</v>
      </c>
      <c r="I70" s="96" t="s">
        <v>96</v>
      </c>
    </row>
    <row r="71" spans="1:9" ht="13">
      <c r="A71" s="96">
        <v>2</v>
      </c>
      <c r="B71" s="96">
        <v>4</v>
      </c>
      <c r="C71" s="96" t="s">
        <v>421</v>
      </c>
      <c r="D71" s="96">
        <v>4</v>
      </c>
      <c r="E71" s="96" t="s">
        <v>429</v>
      </c>
      <c r="F71" s="96" t="s">
        <v>430</v>
      </c>
      <c r="G71" s="96" t="s">
        <v>424</v>
      </c>
      <c r="H71" s="96" t="s">
        <v>27</v>
      </c>
      <c r="I71" s="96" t="s">
        <v>96</v>
      </c>
    </row>
    <row r="72" spans="1:9" ht="13">
      <c r="A72" s="96">
        <v>2</v>
      </c>
      <c r="B72" s="96">
        <v>4</v>
      </c>
      <c r="C72" s="96" t="s">
        <v>421</v>
      </c>
      <c r="D72" s="96">
        <v>5</v>
      </c>
      <c r="E72" s="96" t="s">
        <v>431</v>
      </c>
      <c r="F72" s="96" t="s">
        <v>432</v>
      </c>
      <c r="G72" s="96" t="s">
        <v>424</v>
      </c>
      <c r="H72" s="96" t="s">
        <v>163</v>
      </c>
      <c r="I72" s="96" t="s">
        <v>96</v>
      </c>
    </row>
    <row r="73" spans="1:9" ht="13">
      <c r="A73" s="96">
        <v>2</v>
      </c>
      <c r="B73" s="96">
        <v>4</v>
      </c>
      <c r="C73" s="96" t="s">
        <v>421</v>
      </c>
      <c r="D73" s="96">
        <v>6</v>
      </c>
      <c r="E73" s="96" t="s">
        <v>433</v>
      </c>
      <c r="F73" s="96" t="s">
        <v>434</v>
      </c>
      <c r="G73" s="96" t="s">
        <v>424</v>
      </c>
      <c r="H73" s="96" t="s">
        <v>163</v>
      </c>
      <c r="I73" s="96" t="s">
        <v>96</v>
      </c>
    </row>
    <row r="74" spans="1:9" ht="13">
      <c r="A74" s="96">
        <v>2</v>
      </c>
      <c r="B74" s="96">
        <v>5</v>
      </c>
      <c r="C74" s="96" t="s">
        <v>435</v>
      </c>
      <c r="D74" s="96">
        <v>1</v>
      </c>
      <c r="E74" s="96" t="s">
        <v>436</v>
      </c>
      <c r="F74" s="96" t="s">
        <v>437</v>
      </c>
      <c r="G74" s="96" t="s">
        <v>438</v>
      </c>
      <c r="H74" s="96" t="s">
        <v>18</v>
      </c>
      <c r="I74" s="96" t="s">
        <v>50</v>
      </c>
    </row>
    <row r="75" spans="1:9" ht="13">
      <c r="A75" s="96">
        <v>2</v>
      </c>
      <c r="B75" s="96">
        <v>5</v>
      </c>
      <c r="C75" s="96" t="s">
        <v>435</v>
      </c>
      <c r="D75" s="96">
        <v>2</v>
      </c>
      <c r="E75" s="96" t="s">
        <v>439</v>
      </c>
      <c r="F75" s="96" t="s">
        <v>440</v>
      </c>
      <c r="G75" s="96" t="s">
        <v>438</v>
      </c>
      <c r="H75" s="96" t="s">
        <v>79</v>
      </c>
      <c r="I75" s="96" t="s">
        <v>50</v>
      </c>
    </row>
    <row r="76" spans="1:9" ht="13">
      <c r="A76" s="96">
        <v>2</v>
      </c>
      <c r="B76" s="96">
        <v>5</v>
      </c>
      <c r="C76" s="96" t="s">
        <v>435</v>
      </c>
      <c r="D76" s="96">
        <v>3</v>
      </c>
      <c r="E76" s="96" t="s">
        <v>441</v>
      </c>
      <c r="F76" s="96" t="s">
        <v>442</v>
      </c>
      <c r="G76" s="96" t="s">
        <v>438</v>
      </c>
      <c r="H76" s="96" t="s">
        <v>6</v>
      </c>
      <c r="I76" s="96" t="s">
        <v>50</v>
      </c>
    </row>
    <row r="77" spans="1:9" ht="13">
      <c r="A77" s="96">
        <v>2</v>
      </c>
      <c r="B77" s="96">
        <v>5</v>
      </c>
      <c r="C77" s="96" t="s">
        <v>435</v>
      </c>
      <c r="D77" s="96">
        <v>4</v>
      </c>
      <c r="E77" s="96" t="s">
        <v>443</v>
      </c>
      <c r="F77" s="96" t="s">
        <v>444</v>
      </c>
      <c r="G77" s="96" t="s">
        <v>438</v>
      </c>
      <c r="H77" s="96" t="s">
        <v>445</v>
      </c>
      <c r="I77" s="96" t="s">
        <v>50</v>
      </c>
    </row>
    <row r="78" spans="1:9" ht="13">
      <c r="A78" s="96">
        <v>2</v>
      </c>
      <c r="B78" s="96">
        <v>5</v>
      </c>
      <c r="C78" s="96" t="s">
        <v>435</v>
      </c>
      <c r="D78" s="96">
        <v>5</v>
      </c>
      <c r="E78" s="96" t="s">
        <v>446</v>
      </c>
      <c r="F78" s="96" t="s">
        <v>447</v>
      </c>
      <c r="G78" s="96" t="s">
        <v>438</v>
      </c>
      <c r="H78" s="96" t="s">
        <v>448</v>
      </c>
      <c r="I78" s="96" t="s">
        <v>50</v>
      </c>
    </row>
    <row r="79" spans="1:9" ht="13">
      <c r="A79" s="96">
        <v>2</v>
      </c>
      <c r="B79" s="96">
        <v>5</v>
      </c>
      <c r="C79" s="96" t="s">
        <v>435</v>
      </c>
      <c r="D79" s="96">
        <v>6</v>
      </c>
      <c r="E79" s="96" t="s">
        <v>449</v>
      </c>
      <c r="F79" s="96" t="s">
        <v>450</v>
      </c>
      <c r="G79" s="96" t="s">
        <v>438</v>
      </c>
      <c r="H79" s="96" t="s">
        <v>451</v>
      </c>
      <c r="I79" s="96" t="s">
        <v>50</v>
      </c>
    </row>
    <row r="80" spans="1:9" ht="13">
      <c r="A80" s="96">
        <v>2</v>
      </c>
      <c r="B80" s="96">
        <v>5</v>
      </c>
      <c r="C80" s="96" t="s">
        <v>452</v>
      </c>
      <c r="D80" s="96">
        <v>1</v>
      </c>
      <c r="E80" s="96" t="s">
        <v>453</v>
      </c>
      <c r="F80" s="96" t="s">
        <v>454</v>
      </c>
      <c r="G80" s="96">
        <v>2.6</v>
      </c>
      <c r="H80" s="96" t="s">
        <v>455</v>
      </c>
      <c r="I80" s="96" t="s">
        <v>50</v>
      </c>
    </row>
    <row r="81" spans="1:9" ht="13">
      <c r="A81" s="96">
        <v>2</v>
      </c>
      <c r="B81" s="96">
        <v>5</v>
      </c>
      <c r="C81" s="96" t="s">
        <v>452</v>
      </c>
      <c r="D81" s="96">
        <v>2</v>
      </c>
      <c r="E81" s="96" t="s">
        <v>456</v>
      </c>
      <c r="F81" s="96" t="s">
        <v>457</v>
      </c>
      <c r="G81" s="96">
        <v>2.6</v>
      </c>
      <c r="H81" s="96" t="s">
        <v>95</v>
      </c>
      <c r="I81" s="96" t="s">
        <v>50</v>
      </c>
    </row>
    <row r="82" spans="1:9" ht="13">
      <c r="A82" s="96">
        <v>2</v>
      </c>
      <c r="B82" s="96">
        <v>5</v>
      </c>
      <c r="C82" s="96" t="s">
        <v>452</v>
      </c>
      <c r="D82" s="96">
        <v>3</v>
      </c>
      <c r="E82" s="96" t="s">
        <v>458</v>
      </c>
      <c r="F82" s="96" t="s">
        <v>459</v>
      </c>
      <c r="G82" s="96">
        <v>2.6</v>
      </c>
      <c r="H82" s="96" t="s">
        <v>95</v>
      </c>
      <c r="I82" s="96" t="s">
        <v>50</v>
      </c>
    </row>
    <row r="83" spans="1:9" ht="13">
      <c r="A83" s="96">
        <v>2</v>
      </c>
      <c r="B83" s="96">
        <v>5</v>
      </c>
      <c r="C83" s="96" t="s">
        <v>452</v>
      </c>
      <c r="D83" s="96">
        <v>4</v>
      </c>
      <c r="E83" s="96" t="s">
        <v>460</v>
      </c>
      <c r="F83" s="96" t="s">
        <v>461</v>
      </c>
      <c r="G83" s="96">
        <v>2.6</v>
      </c>
      <c r="H83" s="96" t="s">
        <v>95</v>
      </c>
      <c r="I83" s="96" t="s">
        <v>50</v>
      </c>
    </row>
    <row r="84" spans="1:9" ht="13">
      <c r="A84" s="96">
        <v>2</v>
      </c>
      <c r="B84" s="96">
        <v>5</v>
      </c>
      <c r="C84" s="96" t="s">
        <v>452</v>
      </c>
      <c r="D84" s="96">
        <v>5</v>
      </c>
      <c r="E84" s="96" t="s">
        <v>462</v>
      </c>
      <c r="F84" s="96" t="s">
        <v>463</v>
      </c>
      <c r="G84" s="96">
        <v>2.6</v>
      </c>
      <c r="H84" s="96" t="s">
        <v>95</v>
      </c>
      <c r="I84" s="96" t="s">
        <v>50</v>
      </c>
    </row>
    <row r="85" spans="1:9" ht="13">
      <c r="A85" s="96">
        <v>2</v>
      </c>
      <c r="B85" s="96">
        <v>5</v>
      </c>
      <c r="C85" s="96" t="s">
        <v>452</v>
      </c>
      <c r="D85" s="96">
        <v>6</v>
      </c>
      <c r="E85" s="96" t="s">
        <v>464</v>
      </c>
      <c r="F85" s="96" t="s">
        <v>465</v>
      </c>
      <c r="G85" s="96">
        <v>2.6</v>
      </c>
      <c r="H85" s="96" t="s">
        <v>192</v>
      </c>
      <c r="I85" s="96" t="s">
        <v>50</v>
      </c>
    </row>
    <row r="86" spans="1:9" ht="13">
      <c r="A86" s="96">
        <v>2</v>
      </c>
      <c r="B86" s="96">
        <v>5</v>
      </c>
      <c r="C86" s="96" t="s">
        <v>466</v>
      </c>
      <c r="D86" s="96">
        <v>1</v>
      </c>
      <c r="E86" s="96" t="s">
        <v>467</v>
      </c>
      <c r="F86" s="96" t="s">
        <v>468</v>
      </c>
      <c r="G86" s="96" t="s">
        <v>364</v>
      </c>
      <c r="H86" s="96" t="s">
        <v>192</v>
      </c>
      <c r="I86" s="96" t="s">
        <v>56</v>
      </c>
    </row>
    <row r="87" spans="1:9" ht="13">
      <c r="A87" s="96">
        <v>2</v>
      </c>
      <c r="B87" s="96">
        <v>5</v>
      </c>
      <c r="C87" s="96" t="s">
        <v>466</v>
      </c>
      <c r="D87" s="96">
        <v>2</v>
      </c>
      <c r="E87" s="96" t="s">
        <v>469</v>
      </c>
      <c r="F87" s="96" t="s">
        <v>470</v>
      </c>
      <c r="G87" s="96" t="s">
        <v>364</v>
      </c>
      <c r="H87" s="96" t="s">
        <v>186</v>
      </c>
      <c r="I87" s="96" t="s">
        <v>56</v>
      </c>
    </row>
    <row r="88" spans="1:9" ht="13">
      <c r="A88" s="96">
        <v>2</v>
      </c>
      <c r="B88" s="96">
        <v>5</v>
      </c>
      <c r="C88" s="96" t="s">
        <v>466</v>
      </c>
      <c r="D88" s="96">
        <v>3</v>
      </c>
      <c r="E88" s="96" t="s">
        <v>471</v>
      </c>
      <c r="F88" s="96" t="s">
        <v>472</v>
      </c>
      <c r="G88" s="96" t="s">
        <v>364</v>
      </c>
      <c r="H88" s="96" t="s">
        <v>473</v>
      </c>
      <c r="I88" s="96" t="s">
        <v>56</v>
      </c>
    </row>
    <row r="89" spans="1:9" ht="13">
      <c r="A89" s="96">
        <v>2</v>
      </c>
      <c r="B89" s="96">
        <v>5</v>
      </c>
      <c r="C89" s="96" t="s">
        <v>466</v>
      </c>
      <c r="D89" s="96">
        <v>4</v>
      </c>
      <c r="E89" s="96" t="s">
        <v>474</v>
      </c>
      <c r="F89" s="96" t="s">
        <v>475</v>
      </c>
      <c r="G89" s="96" t="s">
        <v>364</v>
      </c>
      <c r="H89" s="96" t="s">
        <v>103</v>
      </c>
      <c r="I89" s="96" t="s">
        <v>56</v>
      </c>
    </row>
    <row r="90" spans="1:9" ht="13">
      <c r="A90" s="96">
        <v>2</v>
      </c>
      <c r="B90" s="96">
        <v>5</v>
      </c>
      <c r="C90" s="96" t="s">
        <v>466</v>
      </c>
      <c r="D90" s="96">
        <v>5</v>
      </c>
      <c r="E90" s="96" t="s">
        <v>476</v>
      </c>
      <c r="F90" s="96" t="s">
        <v>477</v>
      </c>
      <c r="G90" s="96" t="s">
        <v>364</v>
      </c>
      <c r="H90" s="96" t="s">
        <v>95</v>
      </c>
      <c r="I90" s="96" t="s">
        <v>56</v>
      </c>
    </row>
    <row r="91" spans="1:9" ht="13">
      <c r="A91" s="96">
        <v>2</v>
      </c>
      <c r="B91" s="96">
        <v>5</v>
      </c>
      <c r="C91" s="96" t="s">
        <v>466</v>
      </c>
      <c r="D91" s="96">
        <v>6</v>
      </c>
      <c r="E91" s="96" t="s">
        <v>478</v>
      </c>
      <c r="F91" s="96" t="s">
        <v>479</v>
      </c>
      <c r="G91" s="96" t="s">
        <v>364</v>
      </c>
      <c r="H91" s="96" t="s">
        <v>103</v>
      </c>
      <c r="I91" s="96" t="s">
        <v>56</v>
      </c>
    </row>
    <row r="92" spans="1:9" ht="13">
      <c r="A92" s="96">
        <v>2</v>
      </c>
      <c r="B92" s="96">
        <v>5</v>
      </c>
      <c r="C92" s="96" t="s">
        <v>480</v>
      </c>
      <c r="D92" s="96">
        <v>1</v>
      </c>
      <c r="E92" s="96" t="s">
        <v>481</v>
      </c>
      <c r="F92" s="96" t="s">
        <v>482</v>
      </c>
      <c r="G92" s="96" t="s">
        <v>287</v>
      </c>
      <c r="H92" s="96" t="s">
        <v>217</v>
      </c>
      <c r="I92" s="96" t="s">
        <v>96</v>
      </c>
    </row>
    <row r="93" spans="1:9" ht="13">
      <c r="A93" s="96">
        <v>2</v>
      </c>
      <c r="B93" s="96">
        <v>5</v>
      </c>
      <c r="C93" s="96" t="s">
        <v>480</v>
      </c>
      <c r="D93" s="96">
        <v>2</v>
      </c>
      <c r="E93" s="96" t="s">
        <v>483</v>
      </c>
      <c r="F93" s="96" t="s">
        <v>484</v>
      </c>
      <c r="G93" s="96" t="s">
        <v>287</v>
      </c>
      <c r="H93" s="96" t="s">
        <v>313</v>
      </c>
      <c r="I93" s="96" t="s">
        <v>96</v>
      </c>
    </row>
    <row r="94" spans="1:9" ht="13">
      <c r="A94" s="96">
        <v>2</v>
      </c>
      <c r="B94" s="96">
        <v>5</v>
      </c>
      <c r="C94" s="96" t="s">
        <v>480</v>
      </c>
      <c r="D94" s="96">
        <v>3</v>
      </c>
      <c r="E94" s="96" t="s">
        <v>485</v>
      </c>
      <c r="F94" s="96" t="s">
        <v>486</v>
      </c>
      <c r="G94" s="96" t="s">
        <v>287</v>
      </c>
      <c r="H94" s="96" t="s">
        <v>12</v>
      </c>
      <c r="I94" s="96" t="s">
        <v>96</v>
      </c>
    </row>
    <row r="95" spans="1:9" ht="13">
      <c r="A95" s="96">
        <v>2</v>
      </c>
      <c r="B95" s="96">
        <v>5</v>
      </c>
      <c r="C95" s="96" t="s">
        <v>480</v>
      </c>
      <c r="D95" s="96">
        <v>4</v>
      </c>
      <c r="E95" s="96" t="s">
        <v>487</v>
      </c>
      <c r="F95" s="96" t="s">
        <v>488</v>
      </c>
      <c r="G95" s="96" t="s">
        <v>287</v>
      </c>
      <c r="H95" s="96" t="s">
        <v>217</v>
      </c>
      <c r="I95" s="96" t="s">
        <v>96</v>
      </c>
    </row>
    <row r="96" spans="1:9" ht="13">
      <c r="A96" s="96">
        <v>2</v>
      </c>
      <c r="B96" s="96">
        <v>5</v>
      </c>
      <c r="C96" s="96" t="s">
        <v>480</v>
      </c>
      <c r="D96" s="96">
        <v>5</v>
      </c>
      <c r="E96" s="96" t="s">
        <v>489</v>
      </c>
      <c r="F96" s="96" t="s">
        <v>490</v>
      </c>
      <c r="G96" s="96" t="s">
        <v>287</v>
      </c>
      <c r="H96" s="96" t="s">
        <v>217</v>
      </c>
      <c r="I96" s="96" t="s">
        <v>96</v>
      </c>
    </row>
    <row r="97" spans="1:9" ht="13">
      <c r="A97" s="96">
        <v>2</v>
      </c>
      <c r="B97" s="96">
        <v>5</v>
      </c>
      <c r="C97" s="96" t="s">
        <v>480</v>
      </c>
      <c r="D97" s="96">
        <v>6</v>
      </c>
      <c r="E97" s="96" t="s">
        <v>491</v>
      </c>
      <c r="F97" s="96" t="s">
        <v>492</v>
      </c>
      <c r="G97" s="96" t="s">
        <v>287</v>
      </c>
      <c r="H97" s="96" t="s">
        <v>217</v>
      </c>
      <c r="I97" s="96" t="s">
        <v>96</v>
      </c>
    </row>
    <row r="98" spans="1:9" ht="13">
      <c r="A98" s="96">
        <v>2</v>
      </c>
      <c r="B98" s="96">
        <v>5</v>
      </c>
      <c r="C98" s="96" t="s">
        <v>493</v>
      </c>
      <c r="D98" s="96">
        <v>1</v>
      </c>
      <c r="E98" s="96" t="s">
        <v>494</v>
      </c>
      <c r="F98" s="96" t="s">
        <v>495</v>
      </c>
      <c r="G98" s="96" t="s">
        <v>317</v>
      </c>
      <c r="H98" s="96" t="s">
        <v>496</v>
      </c>
      <c r="I98" s="96" t="s">
        <v>96</v>
      </c>
    </row>
    <row r="99" spans="1:9" ht="13">
      <c r="A99" s="96">
        <v>2</v>
      </c>
      <c r="B99" s="96">
        <v>5</v>
      </c>
      <c r="C99" s="96" t="s">
        <v>493</v>
      </c>
      <c r="D99" s="96">
        <v>2</v>
      </c>
      <c r="E99" s="96" t="s">
        <v>497</v>
      </c>
      <c r="F99" s="96" t="s">
        <v>498</v>
      </c>
      <c r="G99" s="96" t="s">
        <v>317</v>
      </c>
      <c r="H99" s="96" t="s">
        <v>496</v>
      </c>
      <c r="I99" s="96" t="s">
        <v>96</v>
      </c>
    </row>
    <row r="100" spans="1:9" ht="13">
      <c r="A100" s="96">
        <v>2</v>
      </c>
      <c r="B100" s="96">
        <v>5</v>
      </c>
      <c r="C100" s="96" t="s">
        <v>493</v>
      </c>
      <c r="D100" s="96">
        <v>3</v>
      </c>
      <c r="E100" s="96" t="s">
        <v>499</v>
      </c>
      <c r="F100" s="96" t="s">
        <v>500</v>
      </c>
      <c r="G100" s="96" t="s">
        <v>317</v>
      </c>
      <c r="H100" s="96" t="s">
        <v>496</v>
      </c>
      <c r="I100" s="96" t="s">
        <v>96</v>
      </c>
    </row>
    <row r="101" spans="1:9" ht="13">
      <c r="A101" s="96">
        <v>2</v>
      </c>
      <c r="B101" s="96">
        <v>5</v>
      </c>
      <c r="C101" s="96" t="s">
        <v>493</v>
      </c>
      <c r="D101" s="96">
        <v>4</v>
      </c>
      <c r="E101" s="96" t="s">
        <v>501</v>
      </c>
      <c r="F101" s="96" t="s">
        <v>502</v>
      </c>
      <c r="G101" s="96" t="s">
        <v>317</v>
      </c>
      <c r="H101" s="96" t="s">
        <v>27</v>
      </c>
      <c r="I101" s="96" t="s">
        <v>96</v>
      </c>
    </row>
    <row r="102" spans="1:9" ht="13">
      <c r="A102" s="96">
        <v>2</v>
      </c>
      <c r="B102" s="96">
        <v>5</v>
      </c>
      <c r="C102" s="96" t="s">
        <v>493</v>
      </c>
      <c r="D102" s="96">
        <v>5</v>
      </c>
      <c r="E102" s="96" t="s">
        <v>503</v>
      </c>
      <c r="F102" s="96" t="s">
        <v>504</v>
      </c>
      <c r="G102" s="96" t="s">
        <v>317</v>
      </c>
      <c r="H102" s="96" t="s">
        <v>505</v>
      </c>
      <c r="I102" s="96" t="s">
        <v>96</v>
      </c>
    </row>
    <row r="103" spans="1:9" ht="13">
      <c r="A103" s="96">
        <v>2</v>
      </c>
      <c r="B103" s="96">
        <v>5</v>
      </c>
      <c r="C103" s="96" t="s">
        <v>493</v>
      </c>
      <c r="D103" s="96">
        <v>6</v>
      </c>
      <c r="E103" s="96" t="s">
        <v>506</v>
      </c>
      <c r="F103" s="96" t="s">
        <v>507</v>
      </c>
      <c r="G103" s="96" t="s">
        <v>317</v>
      </c>
      <c r="H103" s="96" t="s">
        <v>505</v>
      </c>
      <c r="I103" s="96" t="s">
        <v>96</v>
      </c>
    </row>
    <row r="104" spans="1:9" ht="13">
      <c r="A104" s="96">
        <v>2</v>
      </c>
      <c r="B104" s="96">
        <v>5</v>
      </c>
      <c r="C104" s="96" t="s">
        <v>508</v>
      </c>
      <c r="D104" s="96">
        <v>1</v>
      </c>
      <c r="E104" s="96" t="s">
        <v>509</v>
      </c>
      <c r="F104" s="96" t="s">
        <v>510</v>
      </c>
      <c r="G104" s="96" t="s">
        <v>317</v>
      </c>
      <c r="H104" s="96" t="s">
        <v>234</v>
      </c>
      <c r="I104" s="96" t="s">
        <v>96</v>
      </c>
    </row>
    <row r="105" spans="1:9" ht="13">
      <c r="A105" s="96">
        <v>2</v>
      </c>
      <c r="B105" s="96">
        <v>5</v>
      </c>
      <c r="C105" s="96" t="s">
        <v>508</v>
      </c>
      <c r="D105" s="96">
        <v>2</v>
      </c>
      <c r="E105" s="96" t="s">
        <v>511</v>
      </c>
      <c r="F105" s="96" t="s">
        <v>512</v>
      </c>
      <c r="G105" s="96" t="s">
        <v>317</v>
      </c>
      <c r="H105" s="96" t="s">
        <v>234</v>
      </c>
      <c r="I105" s="96" t="s">
        <v>96</v>
      </c>
    </row>
    <row r="106" spans="1:9" ht="13">
      <c r="A106" s="96">
        <v>2</v>
      </c>
      <c r="B106" s="96">
        <v>5</v>
      </c>
      <c r="C106" s="96" t="s">
        <v>508</v>
      </c>
      <c r="D106" s="96">
        <v>3</v>
      </c>
      <c r="E106" s="96" t="s">
        <v>513</v>
      </c>
      <c r="F106" s="96" t="s">
        <v>514</v>
      </c>
      <c r="G106" s="96" t="s">
        <v>317</v>
      </c>
      <c r="H106" s="96" t="s">
        <v>234</v>
      </c>
      <c r="I106" s="96" t="s">
        <v>96</v>
      </c>
    </row>
    <row r="107" spans="1:9" ht="13">
      <c r="A107" s="96">
        <v>2</v>
      </c>
      <c r="B107" s="96">
        <v>5</v>
      </c>
      <c r="C107" s="96" t="s">
        <v>508</v>
      </c>
      <c r="D107" s="96">
        <v>4</v>
      </c>
      <c r="E107" s="96" t="s">
        <v>515</v>
      </c>
      <c r="F107" s="96" t="s">
        <v>516</v>
      </c>
      <c r="G107" s="96" t="s">
        <v>317</v>
      </c>
      <c r="H107" s="96" t="s">
        <v>163</v>
      </c>
      <c r="I107" s="96" t="s">
        <v>96</v>
      </c>
    </row>
    <row r="108" spans="1:9" ht="13">
      <c r="A108" s="96">
        <v>2</v>
      </c>
      <c r="B108" s="96">
        <v>5</v>
      </c>
      <c r="C108" s="96" t="s">
        <v>508</v>
      </c>
      <c r="D108" s="96">
        <v>5</v>
      </c>
      <c r="E108" s="96" t="s">
        <v>517</v>
      </c>
      <c r="F108" s="96" t="s">
        <v>518</v>
      </c>
      <c r="G108" s="96" t="s">
        <v>317</v>
      </c>
      <c r="H108" s="96" t="s">
        <v>163</v>
      </c>
      <c r="I108" s="96" t="s">
        <v>96</v>
      </c>
    </row>
    <row r="109" spans="1:9" ht="13">
      <c r="A109" s="96">
        <v>2</v>
      </c>
      <c r="B109" s="96">
        <v>5</v>
      </c>
      <c r="C109" s="96" t="s">
        <v>508</v>
      </c>
      <c r="D109" s="96">
        <v>6</v>
      </c>
      <c r="E109" s="96" t="s">
        <v>519</v>
      </c>
      <c r="F109" s="96" t="s">
        <v>520</v>
      </c>
      <c r="G109" s="96" t="s">
        <v>317</v>
      </c>
      <c r="H109" s="96" t="s">
        <v>163</v>
      </c>
      <c r="I109" s="96" t="s">
        <v>96</v>
      </c>
    </row>
    <row r="110" spans="1:9" ht="13">
      <c r="A110" s="96">
        <v>2</v>
      </c>
      <c r="B110" s="96">
        <v>6</v>
      </c>
      <c r="C110" s="96" t="s">
        <v>521</v>
      </c>
      <c r="D110" s="96">
        <v>1</v>
      </c>
      <c r="E110" s="96" t="s">
        <v>522</v>
      </c>
      <c r="F110" s="96" t="s">
        <v>523</v>
      </c>
      <c r="G110" s="96" t="s">
        <v>524</v>
      </c>
      <c r="H110" s="96" t="s">
        <v>448</v>
      </c>
      <c r="I110" s="96" t="s">
        <v>57</v>
      </c>
    </row>
    <row r="111" spans="1:9" ht="13">
      <c r="A111" s="96">
        <v>2</v>
      </c>
      <c r="B111" s="96">
        <v>6</v>
      </c>
      <c r="C111" s="96" t="s">
        <v>521</v>
      </c>
      <c r="D111" s="96">
        <v>2</v>
      </c>
      <c r="E111" s="96" t="s">
        <v>525</v>
      </c>
      <c r="F111" s="96" t="s">
        <v>526</v>
      </c>
      <c r="G111" s="96" t="s">
        <v>524</v>
      </c>
      <c r="H111" s="96" t="s">
        <v>448</v>
      </c>
      <c r="I111" s="96" t="s">
        <v>57</v>
      </c>
    </row>
    <row r="112" spans="1:9" ht="13">
      <c r="A112" s="96">
        <v>2</v>
      </c>
      <c r="B112" s="96">
        <v>6</v>
      </c>
      <c r="C112" s="96" t="s">
        <v>521</v>
      </c>
      <c r="D112" s="96">
        <v>3</v>
      </c>
      <c r="E112" s="96" t="s">
        <v>527</v>
      </c>
      <c r="F112" s="96" t="s">
        <v>528</v>
      </c>
      <c r="G112" s="96" t="s">
        <v>524</v>
      </c>
      <c r="H112" s="96" t="s">
        <v>448</v>
      </c>
      <c r="I112" s="96" t="s">
        <v>57</v>
      </c>
    </row>
    <row r="113" spans="1:9" ht="13">
      <c r="A113" s="96">
        <v>2</v>
      </c>
      <c r="B113" s="96">
        <v>6</v>
      </c>
      <c r="C113" s="96" t="s">
        <v>521</v>
      </c>
      <c r="D113" s="96">
        <v>4</v>
      </c>
      <c r="E113" s="96" t="s">
        <v>529</v>
      </c>
      <c r="F113" s="96" t="s">
        <v>530</v>
      </c>
      <c r="G113" s="96" t="s">
        <v>524</v>
      </c>
      <c r="H113" s="96" t="s">
        <v>531</v>
      </c>
      <c r="I113" s="96" t="s">
        <v>57</v>
      </c>
    </row>
    <row r="114" spans="1:9" ht="13">
      <c r="A114" s="96">
        <v>2</v>
      </c>
      <c r="B114" s="96">
        <v>6</v>
      </c>
      <c r="C114" s="96" t="s">
        <v>521</v>
      </c>
      <c r="D114" s="96">
        <v>5</v>
      </c>
      <c r="E114" s="96" t="s">
        <v>532</v>
      </c>
      <c r="F114" s="96" t="s">
        <v>533</v>
      </c>
      <c r="G114" s="96" t="s">
        <v>524</v>
      </c>
      <c r="H114" s="96" t="s">
        <v>448</v>
      </c>
      <c r="I114" s="96" t="s">
        <v>57</v>
      </c>
    </row>
    <row r="115" spans="1:9" ht="13">
      <c r="A115" s="96">
        <v>2</v>
      </c>
      <c r="B115" s="96">
        <v>6</v>
      </c>
      <c r="C115" s="96" t="s">
        <v>521</v>
      </c>
      <c r="D115" s="96">
        <v>6</v>
      </c>
      <c r="E115" s="96" t="s">
        <v>534</v>
      </c>
      <c r="F115" s="96" t="s">
        <v>535</v>
      </c>
      <c r="G115" s="96" t="s">
        <v>524</v>
      </c>
      <c r="H115" s="96" t="s">
        <v>451</v>
      </c>
      <c r="I115" s="96" t="s">
        <v>57</v>
      </c>
    </row>
    <row r="116" spans="1:9" ht="13">
      <c r="A116" s="96">
        <v>2</v>
      </c>
      <c r="B116" s="96">
        <v>6</v>
      </c>
      <c r="C116" s="96" t="s">
        <v>536</v>
      </c>
      <c r="D116" s="96">
        <v>1</v>
      </c>
      <c r="E116" s="96" t="s">
        <v>537</v>
      </c>
      <c r="F116" s="96" t="s">
        <v>538</v>
      </c>
      <c r="G116" s="96" t="s">
        <v>273</v>
      </c>
      <c r="H116" s="96" t="s">
        <v>95</v>
      </c>
      <c r="I116" s="96" t="s">
        <v>51</v>
      </c>
    </row>
    <row r="117" spans="1:9" ht="13">
      <c r="A117" s="96">
        <v>2</v>
      </c>
      <c r="B117" s="96">
        <v>6</v>
      </c>
      <c r="C117" s="96" t="s">
        <v>536</v>
      </c>
      <c r="D117" s="96">
        <v>2</v>
      </c>
      <c r="E117" s="96" t="s">
        <v>539</v>
      </c>
      <c r="F117" s="96" t="s">
        <v>540</v>
      </c>
      <c r="G117" s="96" t="s">
        <v>273</v>
      </c>
      <c r="H117" s="96" t="s">
        <v>95</v>
      </c>
      <c r="I117" s="96" t="s">
        <v>51</v>
      </c>
    </row>
    <row r="118" spans="1:9" ht="13">
      <c r="A118" s="96">
        <v>2</v>
      </c>
      <c r="B118" s="96">
        <v>6</v>
      </c>
      <c r="C118" s="96" t="s">
        <v>536</v>
      </c>
      <c r="D118" s="96">
        <v>3</v>
      </c>
      <c r="E118" s="96" t="s">
        <v>541</v>
      </c>
      <c r="F118" s="96" t="s">
        <v>542</v>
      </c>
      <c r="G118" s="96" t="s">
        <v>273</v>
      </c>
      <c r="H118" s="96" t="s">
        <v>95</v>
      </c>
      <c r="I118" s="96" t="s">
        <v>51</v>
      </c>
    </row>
    <row r="119" spans="1:9" ht="13">
      <c r="A119" s="96">
        <v>2</v>
      </c>
      <c r="B119" s="96">
        <v>6</v>
      </c>
      <c r="C119" s="96" t="s">
        <v>536</v>
      </c>
      <c r="D119" s="96">
        <v>4</v>
      </c>
      <c r="E119" s="96" t="s">
        <v>543</v>
      </c>
      <c r="F119" s="96" t="s">
        <v>544</v>
      </c>
      <c r="G119" s="96" t="s">
        <v>273</v>
      </c>
      <c r="H119" s="96" t="s">
        <v>95</v>
      </c>
      <c r="I119" s="96" t="s">
        <v>51</v>
      </c>
    </row>
    <row r="120" spans="1:9" ht="13">
      <c r="A120" s="96">
        <v>2</v>
      </c>
      <c r="B120" s="96">
        <v>6</v>
      </c>
      <c r="C120" s="96" t="s">
        <v>536</v>
      </c>
      <c r="D120" s="96">
        <v>5</v>
      </c>
      <c r="E120" s="96" t="s">
        <v>545</v>
      </c>
      <c r="F120" s="96" t="s">
        <v>546</v>
      </c>
      <c r="G120" s="96" t="s">
        <v>273</v>
      </c>
      <c r="H120" s="96" t="s">
        <v>103</v>
      </c>
      <c r="I120" s="96" t="s">
        <v>51</v>
      </c>
    </row>
    <row r="121" spans="1:9" ht="13">
      <c r="A121" s="96">
        <v>2</v>
      </c>
      <c r="B121" s="96">
        <v>6</v>
      </c>
      <c r="C121" s="96" t="s">
        <v>536</v>
      </c>
      <c r="D121" s="96">
        <v>6</v>
      </c>
      <c r="E121" s="96" t="s">
        <v>547</v>
      </c>
      <c r="F121" s="96" t="s">
        <v>548</v>
      </c>
      <c r="G121" s="96" t="s">
        <v>273</v>
      </c>
      <c r="H121" s="96" t="s">
        <v>103</v>
      </c>
      <c r="I121" s="96" t="s">
        <v>51</v>
      </c>
    </row>
    <row r="122" spans="1:9" ht="13">
      <c r="A122" s="96">
        <v>2</v>
      </c>
      <c r="B122" s="96">
        <v>6</v>
      </c>
      <c r="C122" s="96" t="s">
        <v>549</v>
      </c>
      <c r="D122" s="96">
        <v>1</v>
      </c>
      <c r="E122" s="96" t="s">
        <v>550</v>
      </c>
      <c r="F122" s="96" t="s">
        <v>551</v>
      </c>
      <c r="G122" s="96" t="s">
        <v>364</v>
      </c>
      <c r="H122" s="96" t="s">
        <v>552</v>
      </c>
      <c r="I122" s="96" t="s">
        <v>58</v>
      </c>
    </row>
    <row r="123" spans="1:9" ht="13">
      <c r="A123" s="96">
        <v>2</v>
      </c>
      <c r="B123" s="96">
        <v>6</v>
      </c>
      <c r="C123" s="96" t="s">
        <v>549</v>
      </c>
      <c r="D123" s="96">
        <v>2</v>
      </c>
      <c r="E123" s="96" t="s">
        <v>553</v>
      </c>
      <c r="F123" s="96" t="s">
        <v>554</v>
      </c>
      <c r="G123" s="96" t="s">
        <v>364</v>
      </c>
      <c r="H123" s="96" t="s">
        <v>192</v>
      </c>
      <c r="I123" s="96" t="s">
        <v>58</v>
      </c>
    </row>
    <row r="124" spans="1:9" ht="13">
      <c r="A124" s="96">
        <v>2</v>
      </c>
      <c r="B124" s="96">
        <v>6</v>
      </c>
      <c r="C124" s="96" t="s">
        <v>549</v>
      </c>
      <c r="D124" s="96">
        <v>3</v>
      </c>
      <c r="E124" s="96" t="s">
        <v>555</v>
      </c>
      <c r="F124" s="96" t="s">
        <v>556</v>
      </c>
      <c r="G124" s="96" t="s">
        <v>364</v>
      </c>
      <c r="H124" s="96" t="s">
        <v>557</v>
      </c>
      <c r="I124" s="96" t="s">
        <v>58</v>
      </c>
    </row>
    <row r="125" spans="1:9" ht="13">
      <c r="A125" s="96">
        <v>2</v>
      </c>
      <c r="B125" s="96">
        <v>6</v>
      </c>
      <c r="C125" s="96" t="s">
        <v>549</v>
      </c>
      <c r="D125" s="96">
        <v>4</v>
      </c>
      <c r="E125" s="96" t="s">
        <v>558</v>
      </c>
      <c r="F125" s="96" t="s">
        <v>559</v>
      </c>
      <c r="G125" s="96" t="s">
        <v>364</v>
      </c>
      <c r="H125" s="96" t="s">
        <v>103</v>
      </c>
      <c r="I125" s="96" t="s">
        <v>58</v>
      </c>
    </row>
    <row r="126" spans="1:9" ht="13">
      <c r="A126" s="96">
        <v>2</v>
      </c>
      <c r="B126" s="96">
        <v>6</v>
      </c>
      <c r="C126" s="96" t="s">
        <v>549</v>
      </c>
      <c r="D126" s="96">
        <v>5</v>
      </c>
      <c r="E126" s="96" t="s">
        <v>560</v>
      </c>
      <c r="F126" s="96" t="s">
        <v>561</v>
      </c>
      <c r="G126" s="96" t="s">
        <v>364</v>
      </c>
      <c r="H126" s="96" t="s">
        <v>562</v>
      </c>
      <c r="I126" s="96" t="s">
        <v>58</v>
      </c>
    </row>
    <row r="127" spans="1:9" ht="13">
      <c r="A127" s="96">
        <v>2</v>
      </c>
      <c r="B127" s="96">
        <v>6</v>
      </c>
      <c r="C127" s="96" t="s">
        <v>549</v>
      </c>
      <c r="D127" s="96">
        <v>6</v>
      </c>
      <c r="E127" s="96" t="s">
        <v>563</v>
      </c>
      <c r="F127" s="96" t="s">
        <v>564</v>
      </c>
      <c r="G127" s="96" t="s">
        <v>364</v>
      </c>
      <c r="H127" s="96" t="s">
        <v>565</v>
      </c>
      <c r="I127" s="96" t="s">
        <v>58</v>
      </c>
    </row>
    <row r="128" spans="1:9" ht="13">
      <c r="A128" s="96">
        <v>2</v>
      </c>
      <c r="B128" s="96">
        <v>6</v>
      </c>
      <c r="C128" s="96" t="s">
        <v>566</v>
      </c>
      <c r="D128" s="96">
        <v>1</v>
      </c>
      <c r="E128" s="96" t="s">
        <v>567</v>
      </c>
      <c r="F128" s="96" t="s">
        <v>568</v>
      </c>
      <c r="G128" s="96">
        <v>2.6</v>
      </c>
      <c r="H128" s="96" t="s">
        <v>12</v>
      </c>
      <c r="I128" s="96" t="s">
        <v>96</v>
      </c>
    </row>
    <row r="129" spans="1:9" ht="13">
      <c r="A129" s="96">
        <v>2</v>
      </c>
      <c r="B129" s="96">
        <v>6</v>
      </c>
      <c r="C129" s="96" t="s">
        <v>566</v>
      </c>
      <c r="D129" s="96">
        <v>2</v>
      </c>
      <c r="E129" s="96" t="s">
        <v>569</v>
      </c>
      <c r="F129" s="96" t="s">
        <v>570</v>
      </c>
      <c r="G129" s="96">
        <v>2.6</v>
      </c>
      <c r="H129" s="96" t="s">
        <v>12</v>
      </c>
      <c r="I129" s="96" t="s">
        <v>96</v>
      </c>
    </row>
    <row r="130" spans="1:9" ht="13">
      <c r="A130" s="96">
        <v>2</v>
      </c>
      <c r="B130" s="96">
        <v>6</v>
      </c>
      <c r="C130" s="96" t="s">
        <v>566</v>
      </c>
      <c r="D130" s="96">
        <v>3</v>
      </c>
      <c r="E130" s="96" t="s">
        <v>571</v>
      </c>
      <c r="F130" s="96" t="s">
        <v>572</v>
      </c>
      <c r="G130" s="96">
        <v>2.6</v>
      </c>
      <c r="H130" s="96" t="s">
        <v>573</v>
      </c>
      <c r="I130" s="96" t="s">
        <v>96</v>
      </c>
    </row>
    <row r="131" spans="1:9" ht="13">
      <c r="A131" s="96">
        <v>2</v>
      </c>
      <c r="B131" s="96">
        <v>6</v>
      </c>
      <c r="C131" s="96" t="s">
        <v>566</v>
      </c>
      <c r="D131" s="96">
        <v>4</v>
      </c>
      <c r="E131" s="96" t="s">
        <v>574</v>
      </c>
      <c r="F131" s="96" t="s">
        <v>575</v>
      </c>
      <c r="G131" s="96">
        <v>2.6</v>
      </c>
      <c r="H131" s="96" t="s">
        <v>573</v>
      </c>
      <c r="I131" s="96" t="s">
        <v>96</v>
      </c>
    </row>
    <row r="132" spans="1:9" ht="13">
      <c r="A132" s="96">
        <v>2</v>
      </c>
      <c r="B132" s="96">
        <v>6</v>
      </c>
      <c r="C132" s="96" t="s">
        <v>566</v>
      </c>
      <c r="D132" s="96">
        <v>5</v>
      </c>
      <c r="E132" s="96" t="s">
        <v>576</v>
      </c>
      <c r="F132" s="96" t="s">
        <v>577</v>
      </c>
      <c r="G132" s="96">
        <v>2.6</v>
      </c>
      <c r="H132" s="96" t="s">
        <v>217</v>
      </c>
      <c r="I132" s="96" t="s">
        <v>96</v>
      </c>
    </row>
    <row r="133" spans="1:9" ht="13">
      <c r="A133" s="96">
        <v>2</v>
      </c>
      <c r="B133" s="96">
        <v>6</v>
      </c>
      <c r="C133" s="96" t="s">
        <v>566</v>
      </c>
      <c r="D133" s="96">
        <v>6</v>
      </c>
      <c r="E133" s="96" t="s">
        <v>578</v>
      </c>
      <c r="F133" s="96" t="s">
        <v>579</v>
      </c>
      <c r="G133" s="96">
        <v>2.6</v>
      </c>
      <c r="H133" s="96" t="s">
        <v>455</v>
      </c>
      <c r="I133" s="96" t="s">
        <v>96</v>
      </c>
    </row>
    <row r="134" spans="1:9" ht="13">
      <c r="A134" s="96">
        <v>2</v>
      </c>
      <c r="B134" s="96">
        <v>6</v>
      </c>
      <c r="C134" s="96" t="s">
        <v>580</v>
      </c>
      <c r="D134" s="96">
        <v>1</v>
      </c>
      <c r="E134" s="96" t="s">
        <v>581</v>
      </c>
      <c r="F134" s="96" t="s">
        <v>582</v>
      </c>
      <c r="G134" s="96" t="s">
        <v>317</v>
      </c>
      <c r="H134" s="96" t="s">
        <v>27</v>
      </c>
      <c r="I134" s="96" t="s">
        <v>96</v>
      </c>
    </row>
    <row r="135" spans="1:9" ht="13">
      <c r="A135" s="96">
        <v>2</v>
      </c>
      <c r="B135" s="96">
        <v>6</v>
      </c>
      <c r="C135" s="96" t="s">
        <v>580</v>
      </c>
      <c r="D135" s="96">
        <v>2</v>
      </c>
      <c r="E135" s="96" t="s">
        <v>583</v>
      </c>
      <c r="F135" s="96" t="s">
        <v>584</v>
      </c>
      <c r="G135" s="96" t="s">
        <v>317</v>
      </c>
      <c r="H135" s="96" t="s">
        <v>27</v>
      </c>
      <c r="I135" s="96" t="s">
        <v>96</v>
      </c>
    </row>
    <row r="136" spans="1:9" ht="13">
      <c r="A136" s="96">
        <v>2</v>
      </c>
      <c r="B136" s="96">
        <v>6</v>
      </c>
      <c r="C136" s="96" t="s">
        <v>580</v>
      </c>
      <c r="D136" s="96">
        <v>3</v>
      </c>
      <c r="E136" s="96" t="s">
        <v>585</v>
      </c>
      <c r="F136" s="96" t="s">
        <v>586</v>
      </c>
      <c r="G136" s="96" t="s">
        <v>317</v>
      </c>
      <c r="H136" s="96" t="s">
        <v>163</v>
      </c>
      <c r="I136" s="96" t="s">
        <v>96</v>
      </c>
    </row>
    <row r="137" spans="1:9" ht="13">
      <c r="A137" s="96">
        <v>2</v>
      </c>
      <c r="B137" s="96">
        <v>6</v>
      </c>
      <c r="C137" s="96" t="s">
        <v>580</v>
      </c>
      <c r="D137" s="96">
        <v>4</v>
      </c>
      <c r="E137" s="96" t="s">
        <v>587</v>
      </c>
      <c r="F137" s="96" t="s">
        <v>588</v>
      </c>
      <c r="G137" s="96" t="s">
        <v>317</v>
      </c>
      <c r="H137" s="96" t="s">
        <v>163</v>
      </c>
      <c r="I137" s="96" t="s">
        <v>96</v>
      </c>
    </row>
    <row r="138" spans="1:9" ht="13">
      <c r="A138" s="96">
        <v>2</v>
      </c>
      <c r="B138" s="96">
        <v>6</v>
      </c>
      <c r="C138" s="96" t="s">
        <v>580</v>
      </c>
      <c r="D138" s="96">
        <v>5</v>
      </c>
      <c r="E138" s="96" t="s">
        <v>589</v>
      </c>
      <c r="F138" s="96" t="s">
        <v>590</v>
      </c>
      <c r="G138" s="96" t="s">
        <v>317</v>
      </c>
      <c r="H138" s="96" t="s">
        <v>163</v>
      </c>
      <c r="I138" s="96" t="s">
        <v>96</v>
      </c>
    </row>
    <row r="139" spans="1:9" ht="13">
      <c r="A139" s="96">
        <v>2</v>
      </c>
      <c r="B139" s="96">
        <v>6</v>
      </c>
      <c r="C139" s="96" t="s">
        <v>580</v>
      </c>
      <c r="D139" s="96">
        <v>6</v>
      </c>
      <c r="E139" s="96" t="s">
        <v>591</v>
      </c>
      <c r="F139" s="96" t="s">
        <v>592</v>
      </c>
      <c r="G139" s="96" t="s">
        <v>317</v>
      </c>
      <c r="H139" s="96" t="s">
        <v>163</v>
      </c>
      <c r="I139" s="96" t="s">
        <v>96</v>
      </c>
    </row>
    <row r="140" spans="1:9" ht="13">
      <c r="A140" s="96">
        <v>2</v>
      </c>
      <c r="B140" s="96">
        <v>6</v>
      </c>
      <c r="C140" s="96" t="s">
        <v>593</v>
      </c>
      <c r="D140" s="96">
        <v>1</v>
      </c>
      <c r="E140" s="96" t="s">
        <v>594</v>
      </c>
      <c r="F140" s="96" t="s">
        <v>595</v>
      </c>
      <c r="G140" s="96" t="s">
        <v>317</v>
      </c>
      <c r="H140" s="96" t="s">
        <v>496</v>
      </c>
      <c r="I140" s="96" t="s">
        <v>96</v>
      </c>
    </row>
    <row r="141" spans="1:9" ht="13">
      <c r="A141" s="96">
        <v>2</v>
      </c>
      <c r="B141" s="96">
        <v>6</v>
      </c>
      <c r="C141" s="96" t="s">
        <v>593</v>
      </c>
      <c r="D141" s="96">
        <v>2</v>
      </c>
      <c r="E141" s="96" t="s">
        <v>596</v>
      </c>
      <c r="F141" s="96" t="s">
        <v>597</v>
      </c>
      <c r="G141" s="96" t="s">
        <v>317</v>
      </c>
      <c r="H141" s="96" t="s">
        <v>496</v>
      </c>
      <c r="I141" s="96" t="s">
        <v>96</v>
      </c>
    </row>
    <row r="142" spans="1:9" ht="13">
      <c r="A142" s="96">
        <v>2</v>
      </c>
      <c r="B142" s="96">
        <v>6</v>
      </c>
      <c r="C142" s="96" t="s">
        <v>593</v>
      </c>
      <c r="D142" s="96">
        <v>3</v>
      </c>
      <c r="E142" s="96" t="s">
        <v>598</v>
      </c>
      <c r="F142" s="96" t="s">
        <v>599</v>
      </c>
      <c r="G142" s="96" t="s">
        <v>317</v>
      </c>
      <c r="H142" s="96" t="s">
        <v>496</v>
      </c>
      <c r="I142" s="96" t="s">
        <v>96</v>
      </c>
    </row>
    <row r="143" spans="1:9" ht="13">
      <c r="A143" s="96">
        <v>2</v>
      </c>
      <c r="B143" s="96">
        <v>6</v>
      </c>
      <c r="C143" s="96" t="s">
        <v>593</v>
      </c>
      <c r="D143" s="96">
        <v>4</v>
      </c>
      <c r="E143" s="96" t="s">
        <v>600</v>
      </c>
      <c r="F143" s="96" t="s">
        <v>601</v>
      </c>
      <c r="G143" s="96" t="s">
        <v>317</v>
      </c>
      <c r="H143" s="96" t="s">
        <v>496</v>
      </c>
      <c r="I143" s="96" t="s">
        <v>96</v>
      </c>
    </row>
    <row r="144" spans="1:9" ht="13">
      <c r="A144" s="96">
        <v>2</v>
      </c>
      <c r="B144" s="96">
        <v>6</v>
      </c>
      <c r="C144" s="96" t="s">
        <v>593</v>
      </c>
      <c r="D144" s="96">
        <v>5</v>
      </c>
      <c r="E144" s="96" t="s">
        <v>602</v>
      </c>
      <c r="F144" s="96" t="s">
        <v>603</v>
      </c>
      <c r="G144" s="96" t="s">
        <v>317</v>
      </c>
      <c r="H144" s="96" t="s">
        <v>505</v>
      </c>
      <c r="I144" s="96" t="s">
        <v>96</v>
      </c>
    </row>
    <row r="145" spans="1:9" ht="13">
      <c r="A145" s="96">
        <v>2</v>
      </c>
      <c r="B145" s="96">
        <v>6</v>
      </c>
      <c r="C145" s="96" t="s">
        <v>593</v>
      </c>
      <c r="D145" s="96">
        <v>6</v>
      </c>
      <c r="E145" s="96" t="s">
        <v>604</v>
      </c>
      <c r="F145" s="96" t="s">
        <v>605</v>
      </c>
      <c r="G145" s="96" t="s">
        <v>317</v>
      </c>
      <c r="H145" s="96" t="s">
        <v>505</v>
      </c>
      <c r="I145" s="96"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I292"/>
  <sheetViews>
    <sheetView workbookViewId="0"/>
  </sheetViews>
  <sheetFormatPr baseColWidth="10" defaultColWidth="12.6640625" defaultRowHeight="15.75" customHeight="1"/>
  <cols>
    <col min="3" max="3" width="66.6640625" customWidth="1"/>
  </cols>
  <sheetData>
    <row r="1" spans="1:9" ht="15.75" customHeight="1">
      <c r="A1" s="96" t="s">
        <v>69</v>
      </c>
      <c r="B1" s="96" t="s">
        <v>70</v>
      </c>
      <c r="C1" s="96" t="s">
        <v>71</v>
      </c>
      <c r="D1" s="96" t="s">
        <v>72</v>
      </c>
      <c r="E1" s="96"/>
      <c r="F1" s="96" t="s">
        <v>74</v>
      </c>
      <c r="G1" s="96" t="s">
        <v>74</v>
      </c>
      <c r="H1" s="96" t="s">
        <v>74</v>
      </c>
      <c r="I1" s="96" t="s">
        <v>74</v>
      </c>
    </row>
    <row r="2" spans="1:9" ht="15.75" customHeight="1">
      <c r="A2" s="96">
        <v>3</v>
      </c>
      <c r="B2" s="96">
        <v>7</v>
      </c>
      <c r="C2" s="96" t="s">
        <v>606</v>
      </c>
      <c r="D2" s="96">
        <v>1</v>
      </c>
      <c r="E2" s="96" t="str">
        <f t="shared" ref="E2:E256" si="0">B2&amp;"::"&amp;C2&amp;"::"&amp;D2&amp;"::"&amp;F2</f>
        <v>7::Impact of technology – Collaborating online respectfully::1::- Create a memorable and secure password for an account on the school network</v>
      </c>
      <c r="F2" s="96" t="s">
        <v>607</v>
      </c>
      <c r="G2" s="96" t="s">
        <v>608</v>
      </c>
      <c r="H2" s="96" t="s">
        <v>609</v>
      </c>
      <c r="I2" s="96" t="s">
        <v>59</v>
      </c>
    </row>
    <row r="3" spans="1:9" ht="15.75" customHeight="1">
      <c r="A3" s="96">
        <v>3</v>
      </c>
      <c r="B3" s="96">
        <v>7</v>
      </c>
      <c r="C3" s="96" t="s">
        <v>606</v>
      </c>
      <c r="D3" s="96">
        <v>1</v>
      </c>
      <c r="E3" s="96" t="str">
        <f t="shared" si="0"/>
        <v>7::Impact of technology – Collaborating online respectfully::1::- Remember the rules of the computing lab</v>
      </c>
      <c r="F3" s="96" t="s">
        <v>610</v>
      </c>
      <c r="G3" s="96" t="s">
        <v>608</v>
      </c>
      <c r="H3" s="96" t="s">
        <v>34</v>
      </c>
      <c r="I3" s="96" t="s">
        <v>59</v>
      </c>
    </row>
    <row r="4" spans="1:9" ht="15.75" customHeight="1">
      <c r="A4" s="96">
        <v>3</v>
      </c>
      <c r="B4" s="96">
        <v>7</v>
      </c>
      <c r="C4" s="96" t="s">
        <v>606</v>
      </c>
      <c r="D4" s="96">
        <v>2</v>
      </c>
      <c r="E4" s="96" t="str">
        <f t="shared" si="0"/>
        <v>7::Impact of technology – Collaborating online respectfully::2::- Find personal documents and common applications</v>
      </c>
      <c r="F4" s="96" t="s">
        <v>611</v>
      </c>
      <c r="G4" s="96" t="s">
        <v>608</v>
      </c>
      <c r="H4" s="96" t="s">
        <v>31</v>
      </c>
      <c r="I4" s="96" t="s">
        <v>59</v>
      </c>
    </row>
    <row r="5" spans="1:9" ht="15.75" customHeight="1">
      <c r="A5" s="96">
        <v>3</v>
      </c>
      <c r="B5" s="96">
        <v>7</v>
      </c>
      <c r="C5" s="96" t="s">
        <v>606</v>
      </c>
      <c r="D5" s="96">
        <v>2</v>
      </c>
      <c r="E5" s="96" t="str">
        <f t="shared" si="0"/>
        <v>7::Impact of technology – Collaborating online respectfully::2::- Recognise a respectful email</v>
      </c>
      <c r="F5" s="96" t="s">
        <v>612</v>
      </c>
      <c r="G5" s="96" t="s">
        <v>608</v>
      </c>
      <c r="H5" s="96" t="s">
        <v>609</v>
      </c>
      <c r="I5" s="96" t="s">
        <v>59</v>
      </c>
    </row>
    <row r="6" spans="1:9" ht="15.75" customHeight="1">
      <c r="A6" s="96">
        <v>3</v>
      </c>
      <c r="B6" s="96">
        <v>7</v>
      </c>
      <c r="C6" s="96" t="s">
        <v>606</v>
      </c>
      <c r="D6" s="96">
        <v>2</v>
      </c>
      <c r="E6" s="96" t="str">
        <f t="shared" si="0"/>
        <v>7::Impact of technology – Collaborating online respectfully::2::- Construct an effective email and send it to the correct recipients</v>
      </c>
      <c r="F6" s="96" t="s">
        <v>613</v>
      </c>
      <c r="G6" s="96" t="s">
        <v>608</v>
      </c>
      <c r="H6" s="96" t="s">
        <v>31</v>
      </c>
      <c r="I6" s="96" t="s">
        <v>59</v>
      </c>
    </row>
    <row r="7" spans="1:9" ht="15.75" customHeight="1">
      <c r="A7" s="96">
        <v>3</v>
      </c>
      <c r="B7" s="96">
        <v>7</v>
      </c>
      <c r="C7" s="96" t="s">
        <v>606</v>
      </c>
      <c r="D7" s="96">
        <v>3</v>
      </c>
      <c r="E7" s="96" t="str">
        <f t="shared" si="0"/>
        <v>7::Impact of technology – Collaborating online respectfully::3::- Describe how to communicate with peers online</v>
      </c>
      <c r="F7" s="96" t="s">
        <v>614</v>
      </c>
      <c r="G7" s="96" t="s">
        <v>608</v>
      </c>
      <c r="H7" s="96" t="s">
        <v>609</v>
      </c>
      <c r="I7" s="96" t="s">
        <v>59</v>
      </c>
    </row>
    <row r="8" spans="1:9" ht="15.75" customHeight="1">
      <c r="A8" s="96">
        <v>3</v>
      </c>
      <c r="B8" s="96">
        <v>7</v>
      </c>
      <c r="C8" s="96" t="s">
        <v>606</v>
      </c>
      <c r="D8" s="96">
        <v>4</v>
      </c>
      <c r="E8" s="96" t="str">
        <f t="shared" si="0"/>
        <v>7::Impact of technology – Collaborating online respectfully::4::- Plan effective presentations for a given audience</v>
      </c>
      <c r="F8" s="96" t="s">
        <v>615</v>
      </c>
      <c r="G8" s="96" t="s">
        <v>608</v>
      </c>
      <c r="H8" s="96" t="s">
        <v>103</v>
      </c>
      <c r="I8" s="96" t="s">
        <v>59</v>
      </c>
    </row>
    <row r="9" spans="1:9" ht="15.75" customHeight="1">
      <c r="A9" s="96">
        <v>3</v>
      </c>
      <c r="B9" s="96">
        <v>7</v>
      </c>
      <c r="C9" s="96" t="s">
        <v>606</v>
      </c>
      <c r="D9" s="96">
        <v>4</v>
      </c>
      <c r="E9" s="96" t="str">
        <f t="shared" si="0"/>
        <v>7::Impact of technology – Collaborating online respectfully::4::- Describe cyberbullying</v>
      </c>
      <c r="F9" s="96" t="s">
        <v>616</v>
      </c>
      <c r="G9" s="96" t="s">
        <v>608</v>
      </c>
      <c r="H9" s="96" t="s">
        <v>617</v>
      </c>
      <c r="I9" s="96" t="s">
        <v>59</v>
      </c>
    </row>
    <row r="10" spans="1:9" ht="15.75" customHeight="1">
      <c r="A10" s="96">
        <v>3</v>
      </c>
      <c r="B10" s="96">
        <v>7</v>
      </c>
      <c r="C10" s="96" t="s">
        <v>606</v>
      </c>
      <c r="D10" s="96">
        <v>4</v>
      </c>
      <c r="E10" s="96" t="str">
        <f t="shared" si="0"/>
        <v>7::Impact of technology – Collaborating online respectfully::4::- Explain the effects of cyberbullying</v>
      </c>
      <c r="F10" s="96" t="s">
        <v>618</v>
      </c>
      <c r="G10" s="96" t="s">
        <v>608</v>
      </c>
      <c r="H10" s="96" t="s">
        <v>617</v>
      </c>
      <c r="I10" s="96" t="s">
        <v>59</v>
      </c>
    </row>
    <row r="11" spans="1:9" ht="15.75" customHeight="1">
      <c r="A11" s="96">
        <v>3</v>
      </c>
      <c r="B11" s="96">
        <v>7</v>
      </c>
      <c r="C11" s="96" t="s">
        <v>606</v>
      </c>
      <c r="D11" s="96">
        <v>5</v>
      </c>
      <c r="E11" s="96" t="str">
        <f t="shared" si="0"/>
        <v>7::Impact of technology – Collaborating online respectfully::5::- Plan effective presentations for a given audience</v>
      </c>
      <c r="F11" s="96" t="s">
        <v>615</v>
      </c>
      <c r="G11" s="96" t="s">
        <v>608</v>
      </c>
      <c r="H11" s="96" t="s">
        <v>9</v>
      </c>
      <c r="I11" s="96" t="s">
        <v>59</v>
      </c>
    </row>
    <row r="12" spans="1:9" ht="15.75" customHeight="1">
      <c r="A12" s="96">
        <v>3</v>
      </c>
      <c r="B12" s="96">
        <v>7</v>
      </c>
      <c r="C12" s="96" t="s">
        <v>606</v>
      </c>
      <c r="D12" s="96">
        <v>5</v>
      </c>
      <c r="E12" s="96" t="str">
        <f t="shared" si="0"/>
        <v>7::Impact of technology – Collaborating online respectfully::5::- Describe cyberbullying</v>
      </c>
      <c r="F12" s="96" t="s">
        <v>616</v>
      </c>
      <c r="G12" s="96" t="s">
        <v>608</v>
      </c>
      <c r="H12" s="96" t="s">
        <v>34</v>
      </c>
      <c r="I12" s="96" t="s">
        <v>59</v>
      </c>
    </row>
    <row r="13" spans="1:9" ht="15.75" customHeight="1">
      <c r="A13" s="96">
        <v>3</v>
      </c>
      <c r="B13" s="96">
        <v>7</v>
      </c>
      <c r="C13" s="96" t="s">
        <v>606</v>
      </c>
      <c r="D13" s="96">
        <v>5</v>
      </c>
      <c r="E13" s="96" t="str">
        <f t="shared" si="0"/>
        <v>7::Impact of technology – Collaborating online respectfully::5::- Explain the effects of cyberbullying</v>
      </c>
      <c r="F13" s="96" t="s">
        <v>618</v>
      </c>
      <c r="G13" s="96" t="s">
        <v>608</v>
      </c>
      <c r="H13" s="96" t="s">
        <v>34</v>
      </c>
      <c r="I13" s="96" t="s">
        <v>59</v>
      </c>
    </row>
    <row r="14" spans="1:9" ht="15.75" customHeight="1">
      <c r="A14" s="96">
        <v>3</v>
      </c>
      <c r="B14" s="96">
        <v>7</v>
      </c>
      <c r="C14" s="96" t="s">
        <v>606</v>
      </c>
      <c r="D14" s="96">
        <v>6</v>
      </c>
      <c r="E14" s="96" t="str">
        <f t="shared" si="0"/>
        <v>7::Impact of technology – Collaborating online respectfully::6::- Check who you are talking to online</v>
      </c>
      <c r="F14" s="96" t="s">
        <v>619</v>
      </c>
      <c r="G14" s="96" t="s">
        <v>608</v>
      </c>
      <c r="H14" s="96" t="s">
        <v>609</v>
      </c>
      <c r="I14" s="96" t="s">
        <v>59</v>
      </c>
    </row>
    <row r="15" spans="1:9" ht="15.75" customHeight="1">
      <c r="A15" s="96">
        <v>3</v>
      </c>
      <c r="B15" s="96">
        <v>7</v>
      </c>
      <c r="C15" s="96" t="s">
        <v>620</v>
      </c>
      <c r="D15" s="96">
        <v>1</v>
      </c>
      <c r="E15" s="96" t="str">
        <f t="shared" si="0"/>
        <v>7::Modelling data – Spreadsheets::1::- Identify columns, rows, cells, and cell references in spreadsheet software</v>
      </c>
      <c r="F15" s="96" t="s">
        <v>621</v>
      </c>
      <c r="G15" s="96" t="s">
        <v>622</v>
      </c>
      <c r="H15" s="96" t="s">
        <v>217</v>
      </c>
      <c r="I15" s="96" t="s">
        <v>96</v>
      </c>
    </row>
    <row r="16" spans="1:9" ht="15.75" customHeight="1">
      <c r="A16" s="96">
        <v>3</v>
      </c>
      <c r="B16" s="96">
        <v>7</v>
      </c>
      <c r="C16" s="96" t="s">
        <v>620</v>
      </c>
      <c r="D16" s="96">
        <v>1</v>
      </c>
      <c r="E16" s="96" t="str">
        <f t="shared" si="0"/>
        <v>7::Modelling data – Spreadsheets::1::- Use formatting techniques in a spreadsheet</v>
      </c>
      <c r="F16" s="96" t="s">
        <v>623</v>
      </c>
      <c r="G16" s="96" t="s">
        <v>622</v>
      </c>
      <c r="H16" s="96" t="s">
        <v>31</v>
      </c>
      <c r="I16" s="96" t="s">
        <v>96</v>
      </c>
    </row>
    <row r="17" spans="1:9" ht="15.75" customHeight="1">
      <c r="A17" s="96">
        <v>3</v>
      </c>
      <c r="B17" s="96">
        <v>7</v>
      </c>
      <c r="C17" s="96" t="s">
        <v>620</v>
      </c>
      <c r="D17" s="96">
        <v>2</v>
      </c>
      <c r="E17" s="96" t="str">
        <f t="shared" si="0"/>
        <v>7::Modelling data – Spreadsheets::2::- Use basic formulas with cell references to perform calculations in a spreadsheet (+, -, *, /)</v>
      </c>
      <c r="F17" s="96" t="s">
        <v>624</v>
      </c>
      <c r="G17" s="96" t="s">
        <v>622</v>
      </c>
      <c r="H17" s="96" t="s">
        <v>573</v>
      </c>
      <c r="I17" s="96" t="s">
        <v>96</v>
      </c>
    </row>
    <row r="18" spans="1:9" ht="15.75" customHeight="1">
      <c r="A18" s="96">
        <v>3</v>
      </c>
      <c r="B18" s="96">
        <v>7</v>
      </c>
      <c r="C18" s="96" t="s">
        <v>620</v>
      </c>
      <c r="D18" s="96">
        <v>2</v>
      </c>
      <c r="E18" s="96" t="str">
        <f t="shared" si="0"/>
        <v>7::Modelling data – Spreadsheets::2::- Use the autofill tool to replicate cell data</v>
      </c>
      <c r="F18" s="96" t="s">
        <v>625</v>
      </c>
      <c r="G18" s="96" t="s">
        <v>622</v>
      </c>
      <c r="H18" s="96" t="s">
        <v>217</v>
      </c>
      <c r="I18" s="96" t="s">
        <v>96</v>
      </c>
    </row>
    <row r="19" spans="1:9" ht="15.75" customHeight="1">
      <c r="A19" s="96">
        <v>3</v>
      </c>
      <c r="B19" s="96">
        <v>7</v>
      </c>
      <c r="C19" s="96" t="s">
        <v>620</v>
      </c>
      <c r="D19" s="96">
        <v>3</v>
      </c>
      <c r="E19" s="96" t="str">
        <f t="shared" si="0"/>
        <v>7::Modelling data – Spreadsheets::3::- Explain the difference between data and information</v>
      </c>
      <c r="F19" s="96" t="s">
        <v>626</v>
      </c>
      <c r="G19" s="96" t="s">
        <v>622</v>
      </c>
      <c r="H19" s="96" t="s">
        <v>12</v>
      </c>
      <c r="I19" s="96" t="s">
        <v>96</v>
      </c>
    </row>
    <row r="20" spans="1:9" ht="15.75" customHeight="1">
      <c r="A20" s="96">
        <v>3</v>
      </c>
      <c r="B20" s="96">
        <v>7</v>
      </c>
      <c r="C20" s="96" t="s">
        <v>620</v>
      </c>
      <c r="D20" s="96">
        <v>3</v>
      </c>
      <c r="E20" s="96" t="str">
        <f t="shared" si="0"/>
        <v>7::Modelling data – Spreadsheets::3::- Explain the difference between primary and secondary sources of data</v>
      </c>
      <c r="F20" s="96" t="s">
        <v>627</v>
      </c>
      <c r="G20" s="96" t="s">
        <v>622</v>
      </c>
      <c r="H20" s="96" t="s">
        <v>12</v>
      </c>
      <c r="I20" s="96" t="s">
        <v>96</v>
      </c>
    </row>
    <row r="21" spans="1:9" ht="15.75" customHeight="1">
      <c r="A21" s="96">
        <v>3</v>
      </c>
      <c r="B21" s="96">
        <v>7</v>
      </c>
      <c r="C21" s="96" t="s">
        <v>620</v>
      </c>
      <c r="D21" s="96">
        <v>3</v>
      </c>
      <c r="E21" s="96" t="str">
        <f t="shared" si="0"/>
        <v>7::Modelling data – Spreadsheets::3::- Collect data</v>
      </c>
      <c r="F21" s="96" t="s">
        <v>628</v>
      </c>
      <c r="G21" s="96" t="s">
        <v>622</v>
      </c>
      <c r="H21" s="96" t="s">
        <v>217</v>
      </c>
      <c r="I21" s="96" t="s">
        <v>96</v>
      </c>
    </row>
    <row r="22" spans="1:9" ht="15.75" customHeight="1">
      <c r="A22" s="96">
        <v>3</v>
      </c>
      <c r="B22" s="96">
        <v>7</v>
      </c>
      <c r="C22" s="96" t="s">
        <v>620</v>
      </c>
      <c r="D22" s="96">
        <v>4</v>
      </c>
      <c r="E22" s="96" t="str">
        <f t="shared" si="0"/>
        <v>7::Modelling data – Spreadsheets::4::- Analyse data</v>
      </c>
      <c r="F22" s="96" t="s">
        <v>629</v>
      </c>
      <c r="G22" s="96" t="s">
        <v>622</v>
      </c>
      <c r="H22" s="96" t="s">
        <v>217</v>
      </c>
      <c r="I22" s="96" t="s">
        <v>96</v>
      </c>
    </row>
    <row r="23" spans="1:9" ht="15.75" customHeight="1">
      <c r="A23" s="96">
        <v>3</v>
      </c>
      <c r="B23" s="96">
        <v>7</v>
      </c>
      <c r="C23" s="96" t="s">
        <v>620</v>
      </c>
      <c r="D23" s="96">
        <v>4</v>
      </c>
      <c r="E23" s="96" t="str">
        <f t="shared" si="0"/>
        <v>7::Modelling data – Spreadsheets::4::- Create appropriate charts in a spreadsheet</v>
      </c>
      <c r="F23" s="96" t="s">
        <v>630</v>
      </c>
      <c r="G23" s="96" t="s">
        <v>622</v>
      </c>
      <c r="H23" s="96" t="s">
        <v>217</v>
      </c>
      <c r="I23" s="96" t="s">
        <v>96</v>
      </c>
    </row>
    <row r="24" spans="1:9" ht="15.75" customHeight="1">
      <c r="A24" s="96">
        <v>3</v>
      </c>
      <c r="B24" s="96">
        <v>7</v>
      </c>
      <c r="C24" s="96" t="s">
        <v>620</v>
      </c>
      <c r="D24" s="96">
        <v>4</v>
      </c>
      <c r="E24" s="96" t="str">
        <f t="shared" si="0"/>
        <v>7::Modelling data – Spreadsheets::4::- Use the functions SUM, COUNTA, MAX, and MIN in a spreadsheet</v>
      </c>
      <c r="F24" s="96" t="s">
        <v>631</v>
      </c>
      <c r="G24" s="96" t="s">
        <v>622</v>
      </c>
      <c r="H24" s="96" t="s">
        <v>573</v>
      </c>
      <c r="I24" s="96" t="s">
        <v>96</v>
      </c>
    </row>
    <row r="25" spans="1:9" ht="15.75" customHeight="1">
      <c r="A25" s="96">
        <v>3</v>
      </c>
      <c r="B25" s="96">
        <v>7</v>
      </c>
      <c r="C25" s="96" t="s">
        <v>620</v>
      </c>
      <c r="D25" s="96">
        <v>5</v>
      </c>
      <c r="E25" s="96" t="str">
        <f t="shared" si="0"/>
        <v>7::Modelling data – Spreadsheets::5::- Analyse data</v>
      </c>
      <c r="F25" s="96" t="s">
        <v>629</v>
      </c>
      <c r="G25" s="96" t="s">
        <v>622</v>
      </c>
      <c r="H25" s="96" t="s">
        <v>217</v>
      </c>
      <c r="I25" s="96" t="s">
        <v>96</v>
      </c>
    </row>
    <row r="26" spans="1:9" ht="15.75" customHeight="1">
      <c r="A26" s="96">
        <v>3</v>
      </c>
      <c r="B26" s="96">
        <v>7</v>
      </c>
      <c r="C26" s="96" t="s">
        <v>620</v>
      </c>
      <c r="D26" s="96">
        <v>5</v>
      </c>
      <c r="E26" s="96" t="str">
        <f t="shared" si="0"/>
        <v>7::Modelling data – Spreadsheets::5::- Use a spreadsheet to sort and filter data</v>
      </c>
      <c r="F26" s="96" t="s">
        <v>632</v>
      </c>
      <c r="G26" s="96" t="s">
        <v>622</v>
      </c>
      <c r="H26" s="96" t="s">
        <v>217</v>
      </c>
      <c r="I26" s="96" t="s">
        <v>96</v>
      </c>
    </row>
    <row r="27" spans="1:9" ht="15.75" customHeight="1">
      <c r="A27" s="96">
        <v>3</v>
      </c>
      <c r="B27" s="96">
        <v>7</v>
      </c>
      <c r="C27" s="96" t="s">
        <v>620</v>
      </c>
      <c r="D27" s="96">
        <v>5</v>
      </c>
      <c r="E27" s="96" t="str">
        <f t="shared" si="0"/>
        <v>7::Modelling data – Spreadsheets::5::- Use the functions AVERAGE, COUNTIF, and IF in a spreadsheet</v>
      </c>
      <c r="F27" s="96" t="s">
        <v>633</v>
      </c>
      <c r="G27" s="96" t="s">
        <v>622</v>
      </c>
      <c r="H27" s="96" t="s">
        <v>573</v>
      </c>
      <c r="I27" s="96" t="s">
        <v>96</v>
      </c>
    </row>
    <row r="28" spans="1:9" ht="15.75" customHeight="1">
      <c r="A28" s="96">
        <v>3</v>
      </c>
      <c r="B28" s="96">
        <v>7</v>
      </c>
      <c r="C28" s="96" t="s">
        <v>620</v>
      </c>
      <c r="D28" s="96">
        <v>6</v>
      </c>
      <c r="E28" s="96" t="str">
        <f t="shared" si="0"/>
        <v>7::Modelling data – Spreadsheets::6::- Use conditional formatting in a spreadsheet</v>
      </c>
      <c r="F28" s="96" t="s">
        <v>634</v>
      </c>
      <c r="G28" s="96" t="s">
        <v>622</v>
      </c>
      <c r="H28" s="96" t="s">
        <v>573</v>
      </c>
      <c r="I28" s="96" t="s">
        <v>96</v>
      </c>
    </row>
    <row r="29" spans="1:9" ht="15.75" customHeight="1">
      <c r="A29" s="96">
        <v>3</v>
      </c>
      <c r="B29" s="96">
        <v>7</v>
      </c>
      <c r="C29" s="96" t="s">
        <v>620</v>
      </c>
      <c r="D29" s="96">
        <v>6</v>
      </c>
      <c r="E29" s="96" t="str">
        <f t="shared" si="0"/>
        <v>7::Modelling data – Spreadsheets::6::- Apply all of the spreadsheet skills covered in this unit</v>
      </c>
      <c r="F29" s="96" t="s">
        <v>635</v>
      </c>
      <c r="G29" s="96" t="s">
        <v>622</v>
      </c>
      <c r="H29" s="96" t="s">
        <v>573</v>
      </c>
      <c r="I29" s="96" t="s">
        <v>96</v>
      </c>
    </row>
    <row r="30" spans="1:9" ht="15.75" customHeight="1">
      <c r="A30" s="96">
        <v>3</v>
      </c>
      <c r="B30" s="96">
        <v>7</v>
      </c>
      <c r="C30" s="96" t="s">
        <v>636</v>
      </c>
      <c r="D30" s="96">
        <v>1</v>
      </c>
      <c r="E30" s="96" t="str">
        <f t="shared" si="0"/>
        <v>7::Networks from semaphores to the Internet::1::- Define what a computer network is and explain how data is transmitted between computers across networks</v>
      </c>
      <c r="F30" s="96" t="s">
        <v>637</v>
      </c>
      <c r="G30" s="96">
        <v>3.5</v>
      </c>
      <c r="H30" s="96" t="s">
        <v>6</v>
      </c>
      <c r="I30" s="96" t="s">
        <v>51</v>
      </c>
    </row>
    <row r="31" spans="1:9" ht="15.75" customHeight="1">
      <c r="A31" s="96">
        <v>3</v>
      </c>
      <c r="B31" s="96">
        <v>7</v>
      </c>
      <c r="C31" s="96" t="s">
        <v>636</v>
      </c>
      <c r="D31" s="96">
        <v>1</v>
      </c>
      <c r="E31" s="96" t="str">
        <f t="shared" si="0"/>
        <v>7::Networks from semaphores to the Internet::1::- Define ‘protocol’ and provide examples of non-networking protocols</v>
      </c>
      <c r="F31" s="96" t="s">
        <v>638</v>
      </c>
      <c r="G31" s="96">
        <v>3.5</v>
      </c>
      <c r="H31" s="96" t="s">
        <v>6</v>
      </c>
      <c r="I31" s="96" t="s">
        <v>51</v>
      </c>
    </row>
    <row r="32" spans="1:9" ht="15.75" customHeight="1">
      <c r="A32" s="96">
        <v>3</v>
      </c>
      <c r="B32" s="96">
        <v>7</v>
      </c>
      <c r="C32" s="96" t="s">
        <v>636</v>
      </c>
      <c r="D32" s="96">
        <v>2</v>
      </c>
      <c r="E32" s="96" t="str">
        <f t="shared" si="0"/>
        <v>7::Networks from semaphores to the Internet::2::- List examples of the hardware necessary for connecting devices to networks</v>
      </c>
      <c r="F32" s="96" t="s">
        <v>639</v>
      </c>
      <c r="G32" s="96">
        <v>3.5</v>
      </c>
      <c r="H32" s="96" t="s">
        <v>265</v>
      </c>
      <c r="I32" s="96" t="s">
        <v>51</v>
      </c>
    </row>
    <row r="33" spans="1:9" ht="15.75" customHeight="1">
      <c r="A33" s="96">
        <v>3</v>
      </c>
      <c r="B33" s="96">
        <v>7</v>
      </c>
      <c r="C33" s="96" t="s">
        <v>636</v>
      </c>
      <c r="D33" s="96">
        <v>3</v>
      </c>
      <c r="E33" s="96" t="str">
        <f t="shared" si="0"/>
        <v>7::Networks from semaphores to the Internet::3::- Compare wired to wireless connections and list examples of specific technologies currently used to implement such connections</v>
      </c>
      <c r="F33" s="96" t="s">
        <v>640</v>
      </c>
      <c r="G33" s="96">
        <v>3.5</v>
      </c>
      <c r="H33" s="96" t="s">
        <v>265</v>
      </c>
      <c r="I33" s="96" t="s">
        <v>51</v>
      </c>
    </row>
    <row r="34" spans="1:9" ht="15.75" customHeight="1">
      <c r="A34" s="96">
        <v>3</v>
      </c>
      <c r="B34" s="96">
        <v>7</v>
      </c>
      <c r="C34" s="96" t="s">
        <v>636</v>
      </c>
      <c r="D34" s="96">
        <v>3</v>
      </c>
      <c r="E34" s="96" t="str">
        <f t="shared" si="0"/>
        <v>7::Networks from semaphores to the Internet::3::- Define ‘bandwidth’, using the appropriate units for measuring the rate at which data is transmitted, and discuss familiar examples where bandwidth is important</v>
      </c>
      <c r="F34" s="96" t="s">
        <v>641</v>
      </c>
      <c r="G34" s="96">
        <v>3.5</v>
      </c>
      <c r="H34" s="96" t="s">
        <v>6</v>
      </c>
      <c r="I34" s="96" t="s">
        <v>51</v>
      </c>
    </row>
    <row r="35" spans="1:9" ht="15.75" customHeight="1">
      <c r="A35" s="96">
        <v>3</v>
      </c>
      <c r="B35" s="96">
        <v>7</v>
      </c>
      <c r="C35" s="96" t="s">
        <v>636</v>
      </c>
      <c r="D35" s="96">
        <v>4</v>
      </c>
      <c r="E35" s="96" t="str">
        <f t="shared" si="0"/>
        <v>7::Networks from semaphores to the Internet::4::- Define what the internet is</v>
      </c>
      <c r="F35" s="96" t="s">
        <v>642</v>
      </c>
      <c r="G35" s="96">
        <v>3.5</v>
      </c>
      <c r="H35" s="96" t="s">
        <v>6</v>
      </c>
      <c r="I35" s="96" t="s">
        <v>51</v>
      </c>
    </row>
    <row r="36" spans="1:9" ht="15.75" customHeight="1">
      <c r="A36" s="96">
        <v>3</v>
      </c>
      <c r="B36" s="96">
        <v>7</v>
      </c>
      <c r="C36" s="96" t="s">
        <v>636</v>
      </c>
      <c r="D36" s="96">
        <v>4</v>
      </c>
      <c r="E36" s="96" t="str">
        <f t="shared" si="0"/>
        <v>7::Networks from semaphores to the Internet::4::- Explain how data travels between computers across the internet</v>
      </c>
      <c r="F36" s="96" t="s">
        <v>643</v>
      </c>
      <c r="G36" s="96">
        <v>3.5</v>
      </c>
      <c r="H36" s="96" t="s">
        <v>6</v>
      </c>
      <c r="I36" s="96" t="s">
        <v>51</v>
      </c>
    </row>
    <row r="37" spans="1:9" ht="15.75" customHeight="1">
      <c r="A37" s="96">
        <v>3</v>
      </c>
      <c r="B37" s="96">
        <v>7</v>
      </c>
      <c r="C37" s="96" t="s">
        <v>636</v>
      </c>
      <c r="D37" s="96">
        <v>4</v>
      </c>
      <c r="E37" s="96" t="str">
        <f t="shared" si="0"/>
        <v>7::Networks from semaphores to the Internet::4::- Describe key words such as ‘protocols’, ‘packets’, and ‘addressing’</v>
      </c>
      <c r="F37" s="96" t="s">
        <v>644</v>
      </c>
      <c r="G37" s="96">
        <v>3.5</v>
      </c>
      <c r="H37" s="96" t="s">
        <v>6</v>
      </c>
      <c r="I37" s="96" t="s">
        <v>51</v>
      </c>
    </row>
    <row r="38" spans="1:9" ht="15.75" customHeight="1">
      <c r="A38" s="96">
        <v>3</v>
      </c>
      <c r="B38" s="96">
        <v>7</v>
      </c>
      <c r="C38" s="96" t="s">
        <v>636</v>
      </c>
      <c r="D38" s="96">
        <v>5</v>
      </c>
      <c r="E38" s="96" t="str">
        <f t="shared" si="0"/>
        <v>7::Networks from semaphores to the Internet::5::- Explain the difference between the internet, its services, and the World Wide Web</v>
      </c>
      <c r="F38" s="96" t="s">
        <v>645</v>
      </c>
      <c r="G38" s="96">
        <v>3.5</v>
      </c>
      <c r="H38" s="96" t="s">
        <v>6</v>
      </c>
      <c r="I38" s="96" t="s">
        <v>51</v>
      </c>
    </row>
    <row r="39" spans="1:9" ht="15.75" customHeight="1">
      <c r="A39" s="96">
        <v>3</v>
      </c>
      <c r="B39" s="96">
        <v>7</v>
      </c>
      <c r="C39" s="96" t="s">
        <v>636</v>
      </c>
      <c r="D39" s="96">
        <v>5</v>
      </c>
      <c r="E39" s="96" t="str">
        <f t="shared" si="0"/>
        <v>7::Networks from semaphores to the Internet::5::- Describe how services are provided over the internet</v>
      </c>
      <c r="F39" s="96" t="s">
        <v>646</v>
      </c>
      <c r="G39" s="96">
        <v>3.5</v>
      </c>
      <c r="H39" s="96" t="s">
        <v>6</v>
      </c>
      <c r="I39" s="96" t="s">
        <v>51</v>
      </c>
    </row>
    <row r="40" spans="1:9" ht="15.75" customHeight="1">
      <c r="A40" s="96">
        <v>3</v>
      </c>
      <c r="B40" s="96">
        <v>7</v>
      </c>
      <c r="C40" s="96" t="s">
        <v>636</v>
      </c>
      <c r="D40" s="96">
        <v>5</v>
      </c>
      <c r="E40" s="96" t="str">
        <f t="shared" si="0"/>
        <v>7::Networks from semaphores to the Internet::5::- List some of these services and the context in which they are used</v>
      </c>
      <c r="F40" s="96" t="s">
        <v>647</v>
      </c>
      <c r="G40" s="96">
        <v>3.5</v>
      </c>
      <c r="H40" s="96" t="s">
        <v>6</v>
      </c>
      <c r="I40" s="96" t="s">
        <v>51</v>
      </c>
    </row>
    <row r="41" spans="1:9" ht="15.75" customHeight="1">
      <c r="A41" s="96">
        <v>3</v>
      </c>
      <c r="B41" s="96">
        <v>7</v>
      </c>
      <c r="C41" s="96" t="s">
        <v>636</v>
      </c>
      <c r="D41" s="96">
        <v>5</v>
      </c>
      <c r="E41" s="96" t="str">
        <f t="shared" si="0"/>
        <v>7::Networks from semaphores to the Internet::5::- Explain the term ‘connectivity’ as the capacity for connected devices (‘Internet of Things’) to collect and share information about me with or without my knowledge (including microphones, cameras, and geolocation)</v>
      </c>
      <c r="F41" s="96" t="s">
        <v>648</v>
      </c>
      <c r="G41" s="96">
        <v>3.5</v>
      </c>
      <c r="H41" s="96" t="s">
        <v>6</v>
      </c>
      <c r="I41" s="96" t="s">
        <v>51</v>
      </c>
    </row>
    <row r="42" spans="1:9" ht="15.75" customHeight="1">
      <c r="A42" s="96">
        <v>3</v>
      </c>
      <c r="B42" s="96">
        <v>7</v>
      </c>
      <c r="C42" s="96" t="s">
        <v>636</v>
      </c>
      <c r="D42" s="96">
        <v>5</v>
      </c>
      <c r="E42" s="96" t="str">
        <f t="shared" si="0"/>
        <v>7::Networks from semaphores to the Internet::5::- Describe how internet-connected devices can affect me</v>
      </c>
      <c r="F42" s="96" t="s">
        <v>649</v>
      </c>
      <c r="G42" s="96">
        <v>3.5</v>
      </c>
      <c r="H42" s="96" t="s">
        <v>360</v>
      </c>
      <c r="I42" s="96" t="s">
        <v>51</v>
      </c>
    </row>
    <row r="43" spans="1:9" ht="15.75" customHeight="1">
      <c r="A43" s="96">
        <v>3</v>
      </c>
      <c r="B43" s="96">
        <v>7</v>
      </c>
      <c r="C43" s="96" t="s">
        <v>636</v>
      </c>
      <c r="D43" s="96">
        <v>6</v>
      </c>
      <c r="E43" s="96" t="str">
        <f t="shared" si="0"/>
        <v>7::Networks from semaphores to the Internet::6::- Describe components (servers, browsers, pages, HTTP and HTTPS protocols, etc.) and how they work together</v>
      </c>
      <c r="F43" s="96" t="s">
        <v>650</v>
      </c>
      <c r="G43" s="96">
        <v>3.5</v>
      </c>
      <c r="H43" s="96" t="s">
        <v>6</v>
      </c>
      <c r="I43" s="96" t="s">
        <v>51</v>
      </c>
    </row>
    <row r="44" spans="1:9" ht="15.75" customHeight="1">
      <c r="A44" s="96">
        <v>3</v>
      </c>
      <c r="B44" s="96">
        <v>7</v>
      </c>
      <c r="C44" s="96" t="s">
        <v>651</v>
      </c>
      <c r="D44" s="96">
        <v>1</v>
      </c>
      <c r="E44" s="96" t="str">
        <f t="shared" si="0"/>
        <v>7::Programming essentials in Scratch – part I::1::- Compare how humans and computers understand instructions (understand and carry out)</v>
      </c>
      <c r="F44" s="96" t="s">
        <v>652</v>
      </c>
      <c r="G44" s="96" t="s">
        <v>653</v>
      </c>
      <c r="H44" s="96" t="s">
        <v>24</v>
      </c>
      <c r="I44" s="96" t="s">
        <v>96</v>
      </c>
    </row>
    <row r="45" spans="1:9" ht="15.75" customHeight="1">
      <c r="A45" s="96">
        <v>3</v>
      </c>
      <c r="B45" s="96">
        <v>7</v>
      </c>
      <c r="C45" s="96" t="s">
        <v>651</v>
      </c>
      <c r="D45" s="96">
        <v>1</v>
      </c>
      <c r="E45" s="96" t="str">
        <f t="shared" si="0"/>
        <v>7::Programming essentials in Scratch – part I::1::- Define a sequence as instructions performed in order, with each executed in turn</v>
      </c>
      <c r="F45" s="96" t="s">
        <v>654</v>
      </c>
      <c r="G45" s="96" t="s">
        <v>653</v>
      </c>
      <c r="H45" s="96" t="s">
        <v>24</v>
      </c>
      <c r="I45" s="96" t="s">
        <v>96</v>
      </c>
    </row>
    <row r="46" spans="1:9" ht="15.75" customHeight="1">
      <c r="A46" s="96">
        <v>3</v>
      </c>
      <c r="B46" s="96">
        <v>7</v>
      </c>
      <c r="C46" s="96" t="s">
        <v>651</v>
      </c>
      <c r="D46" s="96">
        <v>1</v>
      </c>
      <c r="E46" s="96" t="str">
        <f t="shared" si="0"/>
        <v>7::Programming essentials in Scratch – part I::1::- Predict the outcome of a simple sequence</v>
      </c>
      <c r="F46" s="96" t="s">
        <v>655</v>
      </c>
      <c r="G46" s="96" t="s">
        <v>653</v>
      </c>
      <c r="H46" s="96" t="s">
        <v>234</v>
      </c>
      <c r="I46" s="96" t="s">
        <v>96</v>
      </c>
    </row>
    <row r="47" spans="1:9" ht="15.75" customHeight="1">
      <c r="A47" s="96">
        <v>3</v>
      </c>
      <c r="B47" s="96">
        <v>7</v>
      </c>
      <c r="C47" s="96" t="s">
        <v>651</v>
      </c>
      <c r="D47" s="96">
        <v>1</v>
      </c>
      <c r="E47" s="96" t="str">
        <f t="shared" si="0"/>
        <v>7::Programming essentials in Scratch – part I::1::- Modify a sequence</v>
      </c>
      <c r="F47" s="96" t="s">
        <v>656</v>
      </c>
      <c r="G47" s="96" t="s">
        <v>653</v>
      </c>
      <c r="H47" s="96" t="s">
        <v>234</v>
      </c>
      <c r="I47" s="96" t="s">
        <v>96</v>
      </c>
    </row>
    <row r="48" spans="1:9" ht="13">
      <c r="A48" s="96">
        <v>3</v>
      </c>
      <c r="B48" s="96">
        <v>7</v>
      </c>
      <c r="C48" s="96" t="s">
        <v>651</v>
      </c>
      <c r="D48" s="96">
        <v>2</v>
      </c>
      <c r="E48" s="96" t="str">
        <f t="shared" si="0"/>
        <v>7::Programming essentials in Scratch – part I::2::- Define a variable as a name that refers to data being stored by the computer</v>
      </c>
      <c r="F48" s="96" t="s">
        <v>657</v>
      </c>
      <c r="G48" s="96" t="s">
        <v>653</v>
      </c>
      <c r="H48" s="96" t="s">
        <v>234</v>
      </c>
      <c r="I48" s="96" t="s">
        <v>96</v>
      </c>
    </row>
    <row r="49" spans="1:9" ht="13">
      <c r="A49" s="96">
        <v>3</v>
      </c>
      <c r="B49" s="96">
        <v>7</v>
      </c>
      <c r="C49" s="96" t="s">
        <v>651</v>
      </c>
      <c r="D49" s="96">
        <v>2</v>
      </c>
      <c r="E49" s="96" t="str">
        <f t="shared" si="0"/>
        <v>7::Programming essentials in Scratch – part I::2::- Recognise that computers follow the control flow of input/process/output</v>
      </c>
      <c r="F49" s="96" t="s">
        <v>658</v>
      </c>
      <c r="G49" s="96" t="s">
        <v>653</v>
      </c>
      <c r="H49" s="96" t="s">
        <v>234</v>
      </c>
      <c r="I49" s="96" t="s">
        <v>96</v>
      </c>
    </row>
    <row r="50" spans="1:9" ht="13">
      <c r="A50" s="96">
        <v>3</v>
      </c>
      <c r="B50" s="96">
        <v>7</v>
      </c>
      <c r="C50" s="96" t="s">
        <v>651</v>
      </c>
      <c r="D50" s="96">
        <v>2</v>
      </c>
      <c r="E50" s="96" t="str">
        <f t="shared" si="0"/>
        <v>7::Programming essentials in Scratch – part I::2::- Predict the outcome of a simple sequence that includes variables</v>
      </c>
      <c r="F50" s="96" t="s">
        <v>659</v>
      </c>
      <c r="G50" s="96" t="s">
        <v>653</v>
      </c>
      <c r="H50" s="96" t="s">
        <v>234</v>
      </c>
      <c r="I50" s="96" t="s">
        <v>96</v>
      </c>
    </row>
    <row r="51" spans="1:9" ht="13">
      <c r="A51" s="96">
        <v>3</v>
      </c>
      <c r="B51" s="96">
        <v>7</v>
      </c>
      <c r="C51" s="96" t="s">
        <v>651</v>
      </c>
      <c r="D51" s="96">
        <v>2</v>
      </c>
      <c r="E51" s="96" t="str">
        <f t="shared" si="0"/>
        <v>7::Programming essentials in Scratch – part I::2::- Trace the values of variables within a sequence</v>
      </c>
      <c r="F51" s="96" t="s">
        <v>660</v>
      </c>
      <c r="G51" s="96" t="s">
        <v>653</v>
      </c>
      <c r="H51" s="96" t="s">
        <v>234</v>
      </c>
      <c r="I51" s="96" t="s">
        <v>96</v>
      </c>
    </row>
    <row r="52" spans="1:9" ht="13">
      <c r="A52" s="96">
        <v>3</v>
      </c>
      <c r="B52" s="96">
        <v>7</v>
      </c>
      <c r="C52" s="96" t="s">
        <v>651</v>
      </c>
      <c r="D52" s="96">
        <v>2</v>
      </c>
      <c r="E52" s="96" t="str">
        <f t="shared" si="0"/>
        <v>7::Programming essentials in Scratch – part I::2::- Make a sequence that includes a variable</v>
      </c>
      <c r="F52" s="96" t="s">
        <v>661</v>
      </c>
      <c r="G52" s="96" t="s">
        <v>653</v>
      </c>
      <c r="H52" s="96" t="s">
        <v>234</v>
      </c>
      <c r="I52" s="96" t="s">
        <v>96</v>
      </c>
    </row>
    <row r="53" spans="1:9" ht="13">
      <c r="A53" s="96">
        <v>3</v>
      </c>
      <c r="B53" s="96">
        <v>7</v>
      </c>
      <c r="C53" s="96" t="s">
        <v>651</v>
      </c>
      <c r="D53" s="96">
        <v>3</v>
      </c>
      <c r="E53" s="96" t="str">
        <f t="shared" si="0"/>
        <v>7::Programming essentials in Scratch – part I::3::- Define a condition as an expression that will be evaluated as either true or false</v>
      </c>
      <c r="F53" s="96" t="s">
        <v>662</v>
      </c>
      <c r="G53" s="96" t="s">
        <v>653</v>
      </c>
      <c r="H53" s="96" t="s">
        <v>234</v>
      </c>
      <c r="I53" s="96" t="s">
        <v>96</v>
      </c>
    </row>
    <row r="54" spans="1:9" ht="13">
      <c r="A54" s="96">
        <v>3</v>
      </c>
      <c r="B54" s="96">
        <v>7</v>
      </c>
      <c r="C54" s="96" t="s">
        <v>651</v>
      </c>
      <c r="D54" s="96">
        <v>3</v>
      </c>
      <c r="E54" s="96" t="str">
        <f t="shared" si="0"/>
        <v>7::Programming essentials in Scratch – part I::3::- Identify that selection uses conditions to control the flow of a sequence</v>
      </c>
      <c r="F54" s="96" t="s">
        <v>663</v>
      </c>
      <c r="G54" s="96" t="s">
        <v>653</v>
      </c>
      <c r="H54" s="96" t="s">
        <v>234</v>
      </c>
      <c r="I54" s="96" t="s">
        <v>96</v>
      </c>
    </row>
    <row r="55" spans="1:9" ht="13">
      <c r="A55" s="96">
        <v>3</v>
      </c>
      <c r="B55" s="96">
        <v>7</v>
      </c>
      <c r="C55" s="96" t="s">
        <v>651</v>
      </c>
      <c r="D55" s="96">
        <v>3</v>
      </c>
      <c r="E55" s="96" t="str">
        <f t="shared" si="0"/>
        <v>7::Programming essentials in Scratch – part I::3::- Identify where selection statements can be used in a program</v>
      </c>
      <c r="F55" s="96" t="s">
        <v>664</v>
      </c>
      <c r="G55" s="96" t="s">
        <v>653</v>
      </c>
      <c r="H55" s="96" t="s">
        <v>234</v>
      </c>
      <c r="I55" s="96" t="s">
        <v>96</v>
      </c>
    </row>
    <row r="56" spans="1:9" ht="13">
      <c r="A56" s="96">
        <v>3</v>
      </c>
      <c r="B56" s="96">
        <v>7</v>
      </c>
      <c r="C56" s="96" t="s">
        <v>651</v>
      </c>
      <c r="D56" s="96">
        <v>3</v>
      </c>
      <c r="E56" s="96" t="str">
        <f t="shared" si="0"/>
        <v>7::Programming essentials in Scratch – part I::3::- Modify a program to include selection</v>
      </c>
      <c r="F56" s="96" t="s">
        <v>665</v>
      </c>
      <c r="G56" s="96" t="s">
        <v>653</v>
      </c>
      <c r="H56" s="96" t="s">
        <v>234</v>
      </c>
      <c r="I56" s="96" t="s">
        <v>96</v>
      </c>
    </row>
    <row r="57" spans="1:9" ht="13">
      <c r="A57" s="96">
        <v>3</v>
      </c>
      <c r="B57" s="96">
        <v>7</v>
      </c>
      <c r="C57" s="96" t="s">
        <v>651</v>
      </c>
      <c r="D57" s="96">
        <v>4</v>
      </c>
      <c r="E57" s="96" t="str">
        <f t="shared" si="0"/>
        <v>7::Programming essentials in Scratch – part I::4::- Create conditions that use comparison operators (&gt;,&lt;,=)</v>
      </c>
      <c r="F57" s="96" t="s">
        <v>666</v>
      </c>
      <c r="G57" s="96" t="s">
        <v>653</v>
      </c>
      <c r="H57" s="96" t="s">
        <v>234</v>
      </c>
      <c r="I57" s="96" t="s">
        <v>96</v>
      </c>
    </row>
    <row r="58" spans="1:9" ht="13">
      <c r="A58" s="96">
        <v>3</v>
      </c>
      <c r="B58" s="96">
        <v>7</v>
      </c>
      <c r="C58" s="96" t="s">
        <v>651</v>
      </c>
      <c r="D58" s="96">
        <v>4</v>
      </c>
      <c r="E58" s="96" t="str">
        <f t="shared" si="0"/>
        <v>7::Programming essentials in Scratch – part I::4::- Create conditions that use logic operators (and/or/not)</v>
      </c>
      <c r="F58" s="96" t="s">
        <v>667</v>
      </c>
      <c r="G58" s="96" t="s">
        <v>653</v>
      </c>
      <c r="H58" s="96" t="s">
        <v>234</v>
      </c>
      <c r="I58" s="96" t="s">
        <v>96</v>
      </c>
    </row>
    <row r="59" spans="1:9" ht="13">
      <c r="A59" s="96">
        <v>3</v>
      </c>
      <c r="B59" s="96">
        <v>7</v>
      </c>
      <c r="C59" s="96" t="s">
        <v>651</v>
      </c>
      <c r="D59" s="96">
        <v>4</v>
      </c>
      <c r="E59" s="96" t="str">
        <f t="shared" si="0"/>
        <v>7::Programming essentials in Scratch – part I::4::- Identify where selection statements can be used in a program that include comparison and logical operators</v>
      </c>
      <c r="F59" s="96" t="s">
        <v>668</v>
      </c>
      <c r="G59" s="96" t="s">
        <v>653</v>
      </c>
      <c r="H59" s="96" t="s">
        <v>234</v>
      </c>
      <c r="I59" s="96" t="s">
        <v>96</v>
      </c>
    </row>
    <row r="60" spans="1:9" ht="13">
      <c r="A60" s="96">
        <v>3</v>
      </c>
      <c r="B60" s="96">
        <v>7</v>
      </c>
      <c r="C60" s="96" t="s">
        <v>651</v>
      </c>
      <c r="D60" s="96">
        <v>5</v>
      </c>
      <c r="E60" s="96" t="str">
        <f t="shared" si="0"/>
        <v>7::Programming essentials in Scratch – part I::5::- Define iteration as a group of instructions that are repeatedly executed</v>
      </c>
      <c r="F60" s="96" t="s">
        <v>669</v>
      </c>
      <c r="G60" s="96" t="s">
        <v>653</v>
      </c>
      <c r="H60" s="96" t="s">
        <v>234</v>
      </c>
      <c r="I60" s="96" t="s">
        <v>96</v>
      </c>
    </row>
    <row r="61" spans="1:9" ht="13">
      <c r="A61" s="96">
        <v>3</v>
      </c>
      <c r="B61" s="96">
        <v>7</v>
      </c>
      <c r="C61" s="96" t="s">
        <v>651</v>
      </c>
      <c r="D61" s="96">
        <v>5</v>
      </c>
      <c r="E61" s="96" t="str">
        <f t="shared" si="0"/>
        <v>7::Programming essentials in Scratch – part I::5::- Describe the need for iteration</v>
      </c>
      <c r="F61" s="96" t="s">
        <v>670</v>
      </c>
      <c r="G61" s="96" t="s">
        <v>653</v>
      </c>
      <c r="H61" s="96" t="s">
        <v>234</v>
      </c>
      <c r="I61" s="96" t="s">
        <v>96</v>
      </c>
    </row>
    <row r="62" spans="1:9" ht="13">
      <c r="A62" s="96">
        <v>3</v>
      </c>
      <c r="B62" s="96">
        <v>7</v>
      </c>
      <c r="C62" s="96" t="s">
        <v>651</v>
      </c>
      <c r="D62" s="96">
        <v>5</v>
      </c>
      <c r="E62" s="96" t="str">
        <f t="shared" si="0"/>
        <v>7::Programming essentials in Scratch – part I::5::- Identify where count-controlled iteration can be used in a program</v>
      </c>
      <c r="F62" s="96" t="s">
        <v>671</v>
      </c>
      <c r="G62" s="96" t="s">
        <v>653</v>
      </c>
      <c r="H62" s="96" t="s">
        <v>234</v>
      </c>
      <c r="I62" s="96" t="s">
        <v>96</v>
      </c>
    </row>
    <row r="63" spans="1:9" ht="13">
      <c r="A63" s="96">
        <v>3</v>
      </c>
      <c r="B63" s="96">
        <v>7</v>
      </c>
      <c r="C63" s="96" t="s">
        <v>651</v>
      </c>
      <c r="D63" s="96">
        <v>5</v>
      </c>
      <c r="E63" s="96" t="str">
        <f t="shared" si="0"/>
        <v>7::Programming essentials in Scratch – part I::5::- Implement count-controlled iteration in a program</v>
      </c>
      <c r="F63" s="96" t="s">
        <v>672</v>
      </c>
      <c r="G63" s="96" t="s">
        <v>653</v>
      </c>
      <c r="H63" s="96" t="s">
        <v>234</v>
      </c>
      <c r="I63" s="96" t="s">
        <v>96</v>
      </c>
    </row>
    <row r="64" spans="1:9" ht="13">
      <c r="A64" s="96">
        <v>3</v>
      </c>
      <c r="B64" s="96">
        <v>7</v>
      </c>
      <c r="C64" s="96" t="s">
        <v>651</v>
      </c>
      <c r="D64" s="96">
        <v>5</v>
      </c>
      <c r="E64" s="96" t="str">
        <f t="shared" si="0"/>
        <v>7::Programming essentials in Scratch – part I::5::- Detect and correct errors in a program (debugging)</v>
      </c>
      <c r="F64" s="96" t="s">
        <v>673</v>
      </c>
      <c r="G64" s="96" t="s">
        <v>653</v>
      </c>
      <c r="H64" s="96" t="s">
        <v>234</v>
      </c>
      <c r="I64" s="96" t="s">
        <v>96</v>
      </c>
    </row>
    <row r="65" spans="1:9" ht="13">
      <c r="A65" s="96">
        <v>3</v>
      </c>
      <c r="B65" s="96">
        <v>7</v>
      </c>
      <c r="C65" s="96" t="s">
        <v>651</v>
      </c>
      <c r="D65" s="96">
        <v>6</v>
      </c>
      <c r="E65" s="96" t="str">
        <f t="shared" si="0"/>
        <v>7::Programming essentials in Scratch – part I::6::- Independently design and apply programming constructs to solve a problem (subroutine, selection, count-controlled iteration, operators, and variables)</v>
      </c>
      <c r="F65" s="96" t="s">
        <v>674</v>
      </c>
      <c r="G65" s="96" t="s">
        <v>653</v>
      </c>
      <c r="H65" s="96" t="s">
        <v>166</v>
      </c>
      <c r="I65" s="96" t="s">
        <v>96</v>
      </c>
    </row>
    <row r="66" spans="1:9" ht="13">
      <c r="A66" s="96">
        <v>3</v>
      </c>
      <c r="B66" s="96">
        <v>7</v>
      </c>
      <c r="C66" s="96" t="s">
        <v>675</v>
      </c>
      <c r="D66" s="96">
        <v>7</v>
      </c>
      <c r="E66" s="96" t="str">
        <f t="shared" si="0"/>
        <v>7::Programming essentials in Scratch – part II::7::- Define a subroutine as a group of instructions that will run when called by the main program or other subroutines</v>
      </c>
      <c r="F66" s="96" t="s">
        <v>676</v>
      </c>
      <c r="G66" s="96" t="s">
        <v>653</v>
      </c>
      <c r="H66" s="96" t="s">
        <v>234</v>
      </c>
      <c r="I66" s="96" t="s">
        <v>96</v>
      </c>
    </row>
    <row r="67" spans="1:9" ht="13">
      <c r="A67" s="96">
        <v>3</v>
      </c>
      <c r="B67" s="96">
        <v>7</v>
      </c>
      <c r="C67" s="96" t="s">
        <v>675</v>
      </c>
      <c r="D67" s="96">
        <v>7</v>
      </c>
      <c r="E67" s="96" t="str">
        <f t="shared" si="0"/>
        <v>7::Programming essentials in Scratch – part II::7::- Define decomposition as breaking a problem down into smaller, more manageable subproblems</v>
      </c>
      <c r="F67" s="96" t="s">
        <v>677</v>
      </c>
      <c r="G67" s="96" t="s">
        <v>653</v>
      </c>
      <c r="H67" s="96" t="s">
        <v>234</v>
      </c>
      <c r="I67" s="96" t="s">
        <v>96</v>
      </c>
    </row>
    <row r="68" spans="1:9" ht="13">
      <c r="A68" s="96">
        <v>3</v>
      </c>
      <c r="B68" s="96">
        <v>7</v>
      </c>
      <c r="C68" s="96" t="s">
        <v>675</v>
      </c>
      <c r="D68" s="96">
        <v>7</v>
      </c>
      <c r="E68" s="96" t="str">
        <f t="shared" si="0"/>
        <v>7::Programming essentials in Scratch – part II::7::- Identify how subroutines can be used for decomposition</v>
      </c>
      <c r="F68" s="96" t="s">
        <v>678</v>
      </c>
      <c r="G68" s="96" t="s">
        <v>653</v>
      </c>
      <c r="H68" s="96" t="s">
        <v>234</v>
      </c>
      <c r="I68" s="96" t="s">
        <v>96</v>
      </c>
    </row>
    <row r="69" spans="1:9" ht="13">
      <c r="A69" s="96">
        <v>3</v>
      </c>
      <c r="B69" s="96">
        <v>7</v>
      </c>
      <c r="C69" s="96" t="s">
        <v>675</v>
      </c>
      <c r="D69" s="96">
        <v>8</v>
      </c>
      <c r="E69" s="96" t="str">
        <f t="shared" si="0"/>
        <v>7::Programming essentials in Scratch – part II::8::- Identify where condition-controlled iteration can be used in a program</v>
      </c>
      <c r="F69" s="96" t="s">
        <v>679</v>
      </c>
      <c r="G69" s="96" t="s">
        <v>653</v>
      </c>
      <c r="H69" s="96" t="s">
        <v>234</v>
      </c>
      <c r="I69" s="96" t="s">
        <v>96</v>
      </c>
    </row>
    <row r="70" spans="1:9" ht="13">
      <c r="A70" s="96">
        <v>3</v>
      </c>
      <c r="B70" s="96">
        <v>7</v>
      </c>
      <c r="C70" s="96" t="s">
        <v>675</v>
      </c>
      <c r="D70" s="96">
        <v>8</v>
      </c>
      <c r="E70" s="96" t="str">
        <f t="shared" si="0"/>
        <v>7::Programming essentials in Scratch – part II::8::- Implement condition-controlled iteration in a program</v>
      </c>
      <c r="F70" s="96" t="s">
        <v>680</v>
      </c>
      <c r="G70" s="96" t="s">
        <v>653</v>
      </c>
      <c r="H70" s="96" t="s">
        <v>234</v>
      </c>
      <c r="I70" s="96" t="s">
        <v>96</v>
      </c>
    </row>
    <row r="71" spans="1:9" ht="13">
      <c r="A71" s="96">
        <v>3</v>
      </c>
      <c r="B71" s="96">
        <v>7</v>
      </c>
      <c r="C71" s="96" t="s">
        <v>675</v>
      </c>
      <c r="D71" s="96">
        <v>9</v>
      </c>
      <c r="E71" s="96" t="str">
        <f t="shared" si="0"/>
        <v>7::Programming essentials in Scratch – part II::9::- Evaluate which type of iteration is required in a program</v>
      </c>
      <c r="F71" s="96" t="s">
        <v>681</v>
      </c>
      <c r="G71" s="96" t="s">
        <v>653</v>
      </c>
      <c r="H71" s="96" t="s">
        <v>234</v>
      </c>
      <c r="I71" s="96" t="s">
        <v>96</v>
      </c>
    </row>
    <row r="72" spans="1:9" ht="13">
      <c r="A72" s="96">
        <v>3</v>
      </c>
      <c r="B72" s="96">
        <v>7</v>
      </c>
      <c r="C72" s="96" t="s">
        <v>675</v>
      </c>
      <c r="D72" s="96">
        <v>10</v>
      </c>
      <c r="E72" s="96" t="str">
        <f t="shared" si="0"/>
        <v>7::Programming essentials in Scratch – part II::10::- Define a list as a collection of related elements that are referred to by a single name</v>
      </c>
      <c r="F72" s="96" t="s">
        <v>682</v>
      </c>
      <c r="G72" s="96" t="s">
        <v>653</v>
      </c>
      <c r="H72" s="96" t="s">
        <v>234</v>
      </c>
      <c r="I72" s="96" t="s">
        <v>96</v>
      </c>
    </row>
    <row r="73" spans="1:9" ht="13">
      <c r="A73" s="96">
        <v>3</v>
      </c>
      <c r="B73" s="96">
        <v>7</v>
      </c>
      <c r="C73" s="96" t="s">
        <v>675</v>
      </c>
      <c r="D73" s="96">
        <v>10</v>
      </c>
      <c r="E73" s="96" t="str">
        <f t="shared" si="0"/>
        <v>7::Programming essentials in Scratch – part II::10::- Describe the need for lists</v>
      </c>
      <c r="F73" s="96" t="s">
        <v>683</v>
      </c>
      <c r="G73" s="96" t="s">
        <v>653</v>
      </c>
      <c r="H73" s="96" t="s">
        <v>234</v>
      </c>
      <c r="I73" s="96" t="s">
        <v>96</v>
      </c>
    </row>
    <row r="74" spans="1:9" ht="13">
      <c r="A74" s="96">
        <v>3</v>
      </c>
      <c r="B74" s="96">
        <v>7</v>
      </c>
      <c r="C74" s="96" t="s">
        <v>675</v>
      </c>
      <c r="D74" s="96">
        <v>10</v>
      </c>
      <c r="E74" s="96" t="str">
        <f t="shared" si="0"/>
        <v>7::Programming essentials in Scratch – part II::10::- Identify when lists can be used in a program</v>
      </c>
      <c r="F74" s="96" t="s">
        <v>684</v>
      </c>
      <c r="G74" s="96" t="s">
        <v>653</v>
      </c>
      <c r="H74" s="96" t="s">
        <v>234</v>
      </c>
      <c r="I74" s="96" t="s">
        <v>96</v>
      </c>
    </row>
    <row r="75" spans="1:9" ht="13">
      <c r="A75" s="96">
        <v>3</v>
      </c>
      <c r="B75" s="96">
        <v>7</v>
      </c>
      <c r="C75" s="96" t="s">
        <v>675</v>
      </c>
      <c r="D75" s="96">
        <v>10</v>
      </c>
      <c r="E75" s="96" t="str">
        <f t="shared" si="0"/>
        <v>7::Programming essentials in Scratch – part II::10::- Use a list</v>
      </c>
      <c r="F75" s="96" t="s">
        <v>685</v>
      </c>
      <c r="G75" s="96" t="s">
        <v>653</v>
      </c>
      <c r="H75" s="96" t="s">
        <v>234</v>
      </c>
      <c r="I75" s="96" t="s">
        <v>96</v>
      </c>
    </row>
    <row r="76" spans="1:9" ht="13">
      <c r="A76" s="96">
        <v>3</v>
      </c>
      <c r="B76" s="96">
        <v>7</v>
      </c>
      <c r="C76" s="96" t="s">
        <v>675</v>
      </c>
      <c r="D76" s="96">
        <v>11</v>
      </c>
      <c r="E76" s="96" t="str">
        <f t="shared" si="0"/>
        <v>7::Programming essentials in Scratch – part II::11::- Decompose a larger problem into smaller subproblems</v>
      </c>
      <c r="F76" s="96" t="s">
        <v>686</v>
      </c>
      <c r="G76" s="96" t="s">
        <v>653</v>
      </c>
      <c r="H76" s="96" t="s">
        <v>234</v>
      </c>
      <c r="I76" s="96" t="s">
        <v>96</v>
      </c>
    </row>
    <row r="77" spans="1:9" ht="13">
      <c r="A77" s="96">
        <v>3</v>
      </c>
      <c r="B77" s="96">
        <v>7</v>
      </c>
      <c r="C77" s="96" t="s">
        <v>675</v>
      </c>
      <c r="D77" s="96">
        <v>11</v>
      </c>
      <c r="E77" s="96" t="str">
        <f t="shared" si="0"/>
        <v>7::Programming essentials in Scratch – part II::11::- Apply appropriate constructs to solve a problem</v>
      </c>
      <c r="F77" s="96" t="s">
        <v>687</v>
      </c>
      <c r="G77" s="96" t="s">
        <v>653</v>
      </c>
      <c r="H77" s="96" t="s">
        <v>234</v>
      </c>
      <c r="I77" s="96" t="s">
        <v>96</v>
      </c>
    </row>
    <row r="78" spans="1:9" ht="13">
      <c r="A78" s="96">
        <v>3</v>
      </c>
      <c r="B78" s="96">
        <v>7</v>
      </c>
      <c r="C78" s="96" t="s">
        <v>675</v>
      </c>
      <c r="D78" s="96">
        <v>12</v>
      </c>
      <c r="E78" s="96" t="str">
        <f t="shared" si="0"/>
        <v>7::Programming essentials in Scratch – part II::12::- Decompose a larger problem into smaller subproblems</v>
      </c>
      <c r="F78" s="96" t="s">
        <v>686</v>
      </c>
      <c r="G78" s="96" t="s">
        <v>653</v>
      </c>
      <c r="H78" s="96" t="s">
        <v>234</v>
      </c>
      <c r="I78" s="96" t="s">
        <v>96</v>
      </c>
    </row>
    <row r="79" spans="1:9" ht="13">
      <c r="A79" s="96">
        <v>3</v>
      </c>
      <c r="B79" s="96">
        <v>7</v>
      </c>
      <c r="C79" s="96" t="s">
        <v>675</v>
      </c>
      <c r="D79" s="96">
        <v>12</v>
      </c>
      <c r="E79" s="96" t="str">
        <f t="shared" si="0"/>
        <v>7::Programming essentials in Scratch – part II::12::- Apply appropriate constructs to solve a problem</v>
      </c>
      <c r="F79" s="96" t="s">
        <v>687</v>
      </c>
      <c r="G79" s="96" t="s">
        <v>653</v>
      </c>
      <c r="H79" s="96" t="s">
        <v>166</v>
      </c>
      <c r="I79" s="96" t="s">
        <v>96</v>
      </c>
    </row>
    <row r="80" spans="1:9" ht="13">
      <c r="A80" s="96">
        <v>3</v>
      </c>
      <c r="B80" s="96">
        <v>7</v>
      </c>
      <c r="C80" s="96" t="s">
        <v>688</v>
      </c>
      <c r="D80" s="96">
        <v>1</v>
      </c>
      <c r="E80" s="96" t="str">
        <f t="shared" si="0"/>
        <v>7::Using media – Gaining support for a cause::1::- Select the most appropriate software to use to complete a task</v>
      </c>
      <c r="F80" s="96" t="s">
        <v>689</v>
      </c>
      <c r="G80" s="96" t="s">
        <v>690</v>
      </c>
      <c r="H80" s="96" t="s">
        <v>31</v>
      </c>
      <c r="I80" s="96" t="s">
        <v>54</v>
      </c>
    </row>
    <row r="81" spans="1:9" ht="13">
      <c r="A81" s="96">
        <v>3</v>
      </c>
      <c r="B81" s="96">
        <v>7</v>
      </c>
      <c r="C81" s="96" t="s">
        <v>688</v>
      </c>
      <c r="D81" s="96">
        <v>1</v>
      </c>
      <c r="E81" s="96" t="str">
        <f t="shared" si="0"/>
        <v>7::Using media – Gaining support for a cause::1::- Identify the key features of a word processor</v>
      </c>
      <c r="F81" s="96" t="s">
        <v>691</v>
      </c>
      <c r="G81" s="96" t="s">
        <v>690</v>
      </c>
      <c r="H81" s="96" t="s">
        <v>31</v>
      </c>
      <c r="I81" s="96" t="s">
        <v>54</v>
      </c>
    </row>
    <row r="82" spans="1:9" ht="13">
      <c r="A82" s="96">
        <v>3</v>
      </c>
      <c r="B82" s="96">
        <v>7</v>
      </c>
      <c r="C82" s="96" t="s">
        <v>688</v>
      </c>
      <c r="D82" s="96">
        <v>1</v>
      </c>
      <c r="E82" s="96" t="str">
        <f t="shared" si="0"/>
        <v>7::Using media – Gaining support for a cause::1::- Apply the key features of a word processor to format a document</v>
      </c>
      <c r="F82" s="96" t="s">
        <v>692</v>
      </c>
      <c r="G82" s="96" t="s">
        <v>690</v>
      </c>
      <c r="H82" s="96" t="s">
        <v>95</v>
      </c>
      <c r="I82" s="96" t="s">
        <v>54</v>
      </c>
    </row>
    <row r="83" spans="1:9" ht="13">
      <c r="A83" s="96">
        <v>3</v>
      </c>
      <c r="B83" s="96">
        <v>7</v>
      </c>
      <c r="C83" s="96" t="s">
        <v>688</v>
      </c>
      <c r="D83" s="96">
        <v>1</v>
      </c>
      <c r="E83" s="96" t="str">
        <f t="shared" si="0"/>
        <v>7::Using media – Gaining support for a cause::1::- Evaluate formatting techniques to understand why we format documents</v>
      </c>
      <c r="F83" s="96" t="s">
        <v>693</v>
      </c>
      <c r="G83" s="96" t="s">
        <v>690</v>
      </c>
      <c r="H83" s="96" t="s">
        <v>694</v>
      </c>
      <c r="I83" s="96" t="s">
        <v>54</v>
      </c>
    </row>
    <row r="84" spans="1:9" ht="13">
      <c r="A84" s="96">
        <v>3</v>
      </c>
      <c r="B84" s="96">
        <v>7</v>
      </c>
      <c r="C84" s="96" t="s">
        <v>688</v>
      </c>
      <c r="D84" s="96">
        <v>2</v>
      </c>
      <c r="E84" s="96" t="str">
        <f t="shared" si="0"/>
        <v>7::Using media – Gaining support for a cause::2::- Select appropriate images for a given context</v>
      </c>
      <c r="F84" s="96" t="s">
        <v>695</v>
      </c>
      <c r="G84" s="96" t="s">
        <v>690</v>
      </c>
      <c r="H84" s="96" t="s">
        <v>95</v>
      </c>
      <c r="I84" s="96" t="s">
        <v>54</v>
      </c>
    </row>
    <row r="85" spans="1:9" ht="13">
      <c r="A85" s="96">
        <v>3</v>
      </c>
      <c r="B85" s="96">
        <v>7</v>
      </c>
      <c r="C85" s="96" t="s">
        <v>688</v>
      </c>
      <c r="D85" s="96">
        <v>2</v>
      </c>
      <c r="E85" s="96" t="str">
        <f t="shared" si="0"/>
        <v>7::Using media – Gaining support for a cause::2::- Apply appropriate formatting techniques</v>
      </c>
      <c r="F85" s="96" t="s">
        <v>696</v>
      </c>
      <c r="G85" s="96" t="s">
        <v>690</v>
      </c>
      <c r="H85" s="96" t="s">
        <v>95</v>
      </c>
      <c r="I85" s="96" t="s">
        <v>54</v>
      </c>
    </row>
    <row r="86" spans="1:9" ht="13">
      <c r="A86" s="96">
        <v>3</v>
      </c>
      <c r="B86" s="96">
        <v>7</v>
      </c>
      <c r="C86" s="96" t="s">
        <v>688</v>
      </c>
      <c r="D86" s="96">
        <v>2</v>
      </c>
      <c r="E86" s="96" t="str">
        <f t="shared" si="0"/>
        <v>7::Using media – Gaining support for a cause::2::- Demonstrate an understanding of licensing issues involving online content by applying appropriate Creative Commons licences</v>
      </c>
      <c r="F86" s="96" t="s">
        <v>697</v>
      </c>
      <c r="G86" s="96" t="s">
        <v>690</v>
      </c>
      <c r="H86" s="96" t="s">
        <v>21</v>
      </c>
      <c r="I86" s="96" t="s">
        <v>54</v>
      </c>
    </row>
    <row r="87" spans="1:9" ht="13">
      <c r="A87" s="96">
        <v>3</v>
      </c>
      <c r="B87" s="96">
        <v>7</v>
      </c>
      <c r="C87" s="96" t="s">
        <v>688</v>
      </c>
      <c r="D87" s="96">
        <v>2</v>
      </c>
      <c r="E87" s="96" t="str">
        <f t="shared" si="0"/>
        <v>7::Using media – Gaining support for a cause::2::- Demonstrate the ability to credit the original source of an image</v>
      </c>
      <c r="F87" s="96" t="s">
        <v>698</v>
      </c>
      <c r="G87" s="96" t="s">
        <v>690</v>
      </c>
      <c r="H87" s="96" t="s">
        <v>21</v>
      </c>
      <c r="I87" s="96" t="s">
        <v>54</v>
      </c>
    </row>
    <row r="88" spans="1:9" ht="13">
      <c r="A88" s="96">
        <v>3</v>
      </c>
      <c r="B88" s="96">
        <v>7</v>
      </c>
      <c r="C88" s="96" t="s">
        <v>688</v>
      </c>
      <c r="D88" s="96">
        <v>3</v>
      </c>
      <c r="E88" s="96" t="str">
        <f t="shared" si="0"/>
        <v>7::Using media – Gaining support for a cause::3::- Critique digital content for credibility</v>
      </c>
      <c r="F88" s="96" t="s">
        <v>699</v>
      </c>
      <c r="G88" s="96" t="s">
        <v>690</v>
      </c>
      <c r="H88" s="96" t="s">
        <v>21</v>
      </c>
      <c r="I88" s="96" t="s">
        <v>54</v>
      </c>
    </row>
    <row r="89" spans="1:9" ht="13">
      <c r="A89" s="96">
        <v>3</v>
      </c>
      <c r="B89" s="96">
        <v>7</v>
      </c>
      <c r="C89" s="96" t="s">
        <v>688</v>
      </c>
      <c r="D89" s="96">
        <v>3</v>
      </c>
      <c r="E89" s="96" t="str">
        <f t="shared" si="0"/>
        <v>7::Using media – Gaining support for a cause::3::- Apply techniques in order to identify whether or not a source is credible</v>
      </c>
      <c r="F89" s="96" t="s">
        <v>700</v>
      </c>
      <c r="G89" s="96" t="s">
        <v>690</v>
      </c>
      <c r="H89" s="96" t="s">
        <v>21</v>
      </c>
      <c r="I89" s="96" t="s">
        <v>54</v>
      </c>
    </row>
    <row r="90" spans="1:9" ht="13">
      <c r="A90" s="96">
        <v>3</v>
      </c>
      <c r="B90" s="96">
        <v>7</v>
      </c>
      <c r="C90" s="96" t="s">
        <v>688</v>
      </c>
      <c r="D90" s="96">
        <v>4</v>
      </c>
      <c r="E90" s="96" t="str">
        <f t="shared" si="0"/>
        <v>7::Using media – Gaining support for a cause::4::- Apply referencing techniques and understand the concept of plagiarism</v>
      </c>
      <c r="F90" s="96" t="s">
        <v>701</v>
      </c>
      <c r="G90" s="96" t="s">
        <v>690</v>
      </c>
      <c r="H90" s="96" t="s">
        <v>21</v>
      </c>
      <c r="I90" s="96" t="s">
        <v>54</v>
      </c>
    </row>
    <row r="91" spans="1:9" ht="13">
      <c r="A91" s="96">
        <v>3</v>
      </c>
      <c r="B91" s="96">
        <v>7</v>
      </c>
      <c r="C91" s="96" t="s">
        <v>688</v>
      </c>
      <c r="D91" s="96">
        <v>4</v>
      </c>
      <c r="E91" s="96" t="str">
        <f t="shared" si="0"/>
        <v>7::Using media – Gaining support for a cause::4::- Evaluate online sources for use in own work</v>
      </c>
      <c r="F91" s="96" t="s">
        <v>702</v>
      </c>
      <c r="G91" s="96" t="s">
        <v>690</v>
      </c>
      <c r="H91" s="96" t="s">
        <v>703</v>
      </c>
      <c r="I91" s="96" t="s">
        <v>54</v>
      </c>
    </row>
    <row r="92" spans="1:9" ht="13">
      <c r="A92" s="96">
        <v>3</v>
      </c>
      <c r="B92" s="96">
        <v>7</v>
      </c>
      <c r="C92" s="96" t="s">
        <v>688</v>
      </c>
      <c r="D92" s="96">
        <v>5</v>
      </c>
      <c r="E92" s="96" t="str">
        <f t="shared" si="0"/>
        <v>7::Using media – Gaining support for a cause::5::- Construct a blog using appropriate software</v>
      </c>
      <c r="F92" s="96" t="s">
        <v>704</v>
      </c>
      <c r="G92" s="96" t="s">
        <v>690</v>
      </c>
      <c r="H92" s="96" t="s">
        <v>95</v>
      </c>
      <c r="I92" s="96" t="s">
        <v>54</v>
      </c>
    </row>
    <row r="93" spans="1:9" ht="13">
      <c r="A93" s="96">
        <v>3</v>
      </c>
      <c r="B93" s="96">
        <v>7</v>
      </c>
      <c r="C93" s="96" t="s">
        <v>688</v>
      </c>
      <c r="D93" s="96">
        <v>5</v>
      </c>
      <c r="E93" s="96" t="str">
        <f t="shared" si="0"/>
        <v>7::Using media – Gaining support for a cause::5::- Organise the content of the blog based on credible sources</v>
      </c>
      <c r="F93" s="96" t="s">
        <v>705</v>
      </c>
      <c r="G93" s="96" t="s">
        <v>690</v>
      </c>
      <c r="H93" s="96" t="s">
        <v>383</v>
      </c>
      <c r="I93" s="96" t="s">
        <v>54</v>
      </c>
    </row>
    <row r="94" spans="1:9" ht="13">
      <c r="A94" s="96">
        <v>3</v>
      </c>
      <c r="B94" s="96">
        <v>7</v>
      </c>
      <c r="C94" s="96" t="s">
        <v>688</v>
      </c>
      <c r="D94" s="96">
        <v>5</v>
      </c>
      <c r="E94" s="96" t="str">
        <f t="shared" si="0"/>
        <v>7::Using media – Gaining support for a cause::5::- Apply referencing techniques that credit authors appropriately</v>
      </c>
      <c r="F94" s="96" t="s">
        <v>706</v>
      </c>
      <c r="G94" s="96" t="s">
        <v>690</v>
      </c>
      <c r="H94" s="96" t="s">
        <v>21</v>
      </c>
      <c r="I94" s="96" t="s">
        <v>54</v>
      </c>
    </row>
    <row r="95" spans="1:9" ht="13">
      <c r="A95" s="96">
        <v>3</v>
      </c>
      <c r="B95" s="96">
        <v>7</v>
      </c>
      <c r="C95" s="96" t="s">
        <v>688</v>
      </c>
      <c r="D95" s="96">
        <v>5</v>
      </c>
      <c r="E95" s="96" t="str">
        <f t="shared" si="0"/>
        <v>7::Using media – Gaining support for a cause::5::- Design the layout of the content to make it suitable for the audience</v>
      </c>
      <c r="F95" s="96" t="s">
        <v>707</v>
      </c>
      <c r="G95" s="96" t="s">
        <v>690</v>
      </c>
      <c r="H95" s="96" t="s">
        <v>694</v>
      </c>
      <c r="I95" s="96" t="s">
        <v>54</v>
      </c>
    </row>
    <row r="96" spans="1:9" ht="13">
      <c r="A96" s="96">
        <v>3</v>
      </c>
      <c r="B96" s="96">
        <v>7</v>
      </c>
      <c r="C96" s="96" t="s">
        <v>688</v>
      </c>
      <c r="D96" s="96">
        <v>6</v>
      </c>
      <c r="E96" s="96" t="str">
        <f t="shared" si="0"/>
        <v>7::Using media – Gaining support for a cause::6::- Construct a blog using appropriate software</v>
      </c>
      <c r="F96" s="96" t="s">
        <v>704</v>
      </c>
      <c r="G96" s="96" t="s">
        <v>690</v>
      </c>
      <c r="H96" s="96" t="s">
        <v>383</v>
      </c>
      <c r="I96" s="96" t="s">
        <v>54</v>
      </c>
    </row>
    <row r="97" spans="1:9" ht="13">
      <c r="A97" s="96">
        <v>3</v>
      </c>
      <c r="B97" s="96">
        <v>7</v>
      </c>
      <c r="C97" s="96" t="s">
        <v>688</v>
      </c>
      <c r="D97" s="96">
        <v>6</v>
      </c>
      <c r="E97" s="96" t="str">
        <f t="shared" si="0"/>
        <v>7::Using media – Gaining support for a cause::6::- Organise the content of blog based on credible sources</v>
      </c>
      <c r="F97" s="96" t="s">
        <v>708</v>
      </c>
      <c r="G97" s="96" t="s">
        <v>690</v>
      </c>
      <c r="H97" s="96" t="s">
        <v>383</v>
      </c>
      <c r="I97" s="96" t="s">
        <v>54</v>
      </c>
    </row>
    <row r="98" spans="1:9" ht="13">
      <c r="A98" s="96">
        <v>3</v>
      </c>
      <c r="B98" s="96">
        <v>7</v>
      </c>
      <c r="C98" s="96" t="s">
        <v>688</v>
      </c>
      <c r="D98" s="96">
        <v>6</v>
      </c>
      <c r="E98" s="96" t="str">
        <f t="shared" si="0"/>
        <v>7::Using media – Gaining support for a cause::6::- Apply referencing techniques that credit authors appropriately</v>
      </c>
      <c r="F98" s="96" t="s">
        <v>706</v>
      </c>
      <c r="G98" s="96" t="s">
        <v>690</v>
      </c>
      <c r="H98" s="96" t="s">
        <v>206</v>
      </c>
      <c r="I98" s="96" t="s">
        <v>54</v>
      </c>
    </row>
    <row r="99" spans="1:9" ht="13">
      <c r="A99" s="96">
        <v>3</v>
      </c>
      <c r="B99" s="96">
        <v>7</v>
      </c>
      <c r="C99" s="96" t="s">
        <v>688</v>
      </c>
      <c r="D99" s="96">
        <v>6</v>
      </c>
      <c r="E99" s="96" t="str">
        <f t="shared" si="0"/>
        <v>7::Using media – Gaining support for a cause::6::- Design the layout of the content to make it suitable for the audience</v>
      </c>
      <c r="F99" s="96" t="s">
        <v>707</v>
      </c>
      <c r="G99" s="96" t="s">
        <v>690</v>
      </c>
      <c r="H99" s="96" t="s">
        <v>703</v>
      </c>
      <c r="I99" s="96" t="s">
        <v>54</v>
      </c>
    </row>
    <row r="100" spans="1:9" ht="13">
      <c r="A100" s="96">
        <v>3</v>
      </c>
      <c r="B100" s="96">
        <v>8</v>
      </c>
      <c r="C100" s="96" t="s">
        <v>37</v>
      </c>
      <c r="D100" s="96">
        <v>1</v>
      </c>
      <c r="E100" s="96" t="str">
        <f t="shared" si="0"/>
        <v>8::Computing systems::1::- Recall that a general-purpose computing system is a device for executing programs</v>
      </c>
      <c r="F100" s="96" t="s">
        <v>709</v>
      </c>
      <c r="G100" s="96" t="s">
        <v>710</v>
      </c>
      <c r="H100" s="96" t="s">
        <v>18</v>
      </c>
      <c r="I100" s="96" t="s">
        <v>96</v>
      </c>
    </row>
    <row r="101" spans="1:9" ht="13">
      <c r="A101" s="96">
        <v>3</v>
      </c>
      <c r="B101" s="96">
        <v>8</v>
      </c>
      <c r="C101" s="96" t="s">
        <v>37</v>
      </c>
      <c r="D101" s="96">
        <v>1</v>
      </c>
      <c r="E101" s="96" t="str">
        <f t="shared" si="0"/>
        <v>8::Computing systems::1::- Recall that a program is a sequence of instructions that specify operations that are to be performed on data</v>
      </c>
      <c r="F101" s="96" t="s">
        <v>711</v>
      </c>
      <c r="G101" s="96" t="s">
        <v>710</v>
      </c>
      <c r="H101" s="96" t="s">
        <v>27</v>
      </c>
      <c r="I101" s="96" t="s">
        <v>96</v>
      </c>
    </row>
    <row r="102" spans="1:9" ht="13">
      <c r="A102" s="96">
        <v>3</v>
      </c>
      <c r="B102" s="96">
        <v>8</v>
      </c>
      <c r="C102" s="96" t="s">
        <v>37</v>
      </c>
      <c r="D102" s="96">
        <v>1</v>
      </c>
      <c r="E102" s="96" t="str">
        <f t="shared" si="0"/>
        <v>8::Computing systems::1::- Explain the difference between a general-purpose computing system and a purpose-built device</v>
      </c>
      <c r="F102" s="96" t="s">
        <v>712</v>
      </c>
      <c r="G102" s="96" t="s">
        <v>710</v>
      </c>
      <c r="H102" s="96" t="s">
        <v>18</v>
      </c>
      <c r="I102" s="96" t="s">
        <v>96</v>
      </c>
    </row>
    <row r="103" spans="1:9" ht="13">
      <c r="A103" s="96">
        <v>3</v>
      </c>
      <c r="B103" s="96">
        <v>8</v>
      </c>
      <c r="C103" s="96" t="s">
        <v>37</v>
      </c>
      <c r="D103" s="96">
        <v>2</v>
      </c>
      <c r="E103" s="96" t="str">
        <f t="shared" si="0"/>
        <v>8::Computing systems::2::- Describe the function of the hardware components used in computing systems</v>
      </c>
      <c r="F103" s="96" t="s">
        <v>713</v>
      </c>
      <c r="G103" s="96" t="s">
        <v>710</v>
      </c>
      <c r="H103" s="96" t="s">
        <v>18</v>
      </c>
      <c r="I103" s="96" t="s">
        <v>96</v>
      </c>
    </row>
    <row r="104" spans="1:9" ht="13">
      <c r="A104" s="96">
        <v>3</v>
      </c>
      <c r="B104" s="96">
        <v>8</v>
      </c>
      <c r="C104" s="96" t="s">
        <v>37</v>
      </c>
      <c r="D104" s="96">
        <v>2</v>
      </c>
      <c r="E104" s="96" t="str">
        <f t="shared" si="0"/>
        <v>8::Computing systems::2::- Describe how the hardware components used in computing systems work together in order to execute programs</v>
      </c>
      <c r="F104" s="96" t="s">
        <v>714</v>
      </c>
      <c r="G104" s="96" t="s">
        <v>710</v>
      </c>
      <c r="H104" s="96" t="s">
        <v>496</v>
      </c>
      <c r="I104" s="96" t="s">
        <v>96</v>
      </c>
    </row>
    <row r="105" spans="1:9" ht="13">
      <c r="A105" s="96">
        <v>3</v>
      </c>
      <c r="B105" s="96">
        <v>8</v>
      </c>
      <c r="C105" s="96" t="s">
        <v>37</v>
      </c>
      <c r="D105" s="96">
        <v>2</v>
      </c>
      <c r="E105" s="96" t="str">
        <f t="shared" si="0"/>
        <v>8::Computing systems::2::- Recall that all computing systems, regardless of form, have a similar structure (‘architecture’)</v>
      </c>
      <c r="F105" s="96" t="s">
        <v>715</v>
      </c>
      <c r="G105" s="96" t="s">
        <v>710</v>
      </c>
      <c r="H105" s="96" t="s">
        <v>18</v>
      </c>
      <c r="I105" s="96" t="s">
        <v>96</v>
      </c>
    </row>
    <row r="106" spans="1:9" ht="13">
      <c r="A106" s="96">
        <v>3</v>
      </c>
      <c r="B106" s="96">
        <v>8</v>
      </c>
      <c r="C106" s="96" t="s">
        <v>37</v>
      </c>
      <c r="D106" s="96">
        <v>3</v>
      </c>
      <c r="E106" s="96" t="str">
        <f t="shared" si="0"/>
        <v>8::Computing systems::3::- Analyse how the hardware components used in computing systems work together in order to execute programs</v>
      </c>
      <c r="F106" s="96" t="s">
        <v>716</v>
      </c>
      <c r="G106" s="96" t="s">
        <v>710</v>
      </c>
      <c r="H106" s="96" t="s">
        <v>18</v>
      </c>
      <c r="I106" s="96" t="s">
        <v>96</v>
      </c>
    </row>
    <row r="107" spans="1:9" ht="13">
      <c r="A107" s="96">
        <v>3</v>
      </c>
      <c r="B107" s="96">
        <v>8</v>
      </c>
      <c r="C107" s="96" t="s">
        <v>37</v>
      </c>
      <c r="D107" s="96">
        <v>3</v>
      </c>
      <c r="E107" s="96" t="str">
        <f t="shared" si="0"/>
        <v>8::Computing systems::3::- Define what an operating system is, and recall its role in controlling program execution</v>
      </c>
      <c r="F107" s="96" t="s">
        <v>717</v>
      </c>
      <c r="G107" s="96" t="s">
        <v>710</v>
      </c>
      <c r="H107" s="96" t="s">
        <v>18</v>
      </c>
      <c r="I107" s="96" t="s">
        <v>96</v>
      </c>
    </row>
    <row r="108" spans="1:9" ht="13">
      <c r="A108" s="96">
        <v>3</v>
      </c>
      <c r="B108" s="96">
        <v>8</v>
      </c>
      <c r="C108" s="96" t="s">
        <v>37</v>
      </c>
      <c r="D108" s="96">
        <v>4</v>
      </c>
      <c r="E108" s="96" t="str">
        <f t="shared" si="0"/>
        <v>8::Computing systems::4::- Describe the NOT, AND, and OR logical operators, and how they are used to form logical expressions</v>
      </c>
      <c r="F108" s="96" t="s">
        <v>718</v>
      </c>
      <c r="G108" s="96" t="s">
        <v>710</v>
      </c>
      <c r="H108" s="96" t="s">
        <v>18</v>
      </c>
      <c r="I108" s="96" t="s">
        <v>96</v>
      </c>
    </row>
    <row r="109" spans="1:9" ht="13">
      <c r="A109" s="96">
        <v>3</v>
      </c>
      <c r="B109" s="96">
        <v>8</v>
      </c>
      <c r="C109" s="96" t="s">
        <v>37</v>
      </c>
      <c r="D109" s="96">
        <v>4</v>
      </c>
      <c r="E109" s="96" t="str">
        <f t="shared" si="0"/>
        <v>8::Computing systems::4::- Use logic gates to construct logic circuits, and associate these with logical operators and expressions</v>
      </c>
      <c r="F109" s="96" t="s">
        <v>719</v>
      </c>
      <c r="G109" s="96" t="s">
        <v>710</v>
      </c>
      <c r="H109" s="96" t="s">
        <v>18</v>
      </c>
      <c r="I109" s="96" t="s">
        <v>96</v>
      </c>
    </row>
    <row r="110" spans="1:9" ht="13">
      <c r="A110" s="96">
        <v>3</v>
      </c>
      <c r="B110" s="96">
        <v>8</v>
      </c>
      <c r="C110" s="96" t="s">
        <v>37</v>
      </c>
      <c r="D110" s="96">
        <v>4</v>
      </c>
      <c r="E110" s="96" t="str">
        <f t="shared" si="0"/>
        <v>8::Computing systems::4::- Describe how hardware is built out of increasingly complex logic circuits</v>
      </c>
      <c r="F110" s="96" t="s">
        <v>720</v>
      </c>
      <c r="G110" s="96" t="s">
        <v>710</v>
      </c>
      <c r="H110" s="96" t="s">
        <v>18</v>
      </c>
      <c r="I110" s="96" t="s">
        <v>96</v>
      </c>
    </row>
    <row r="111" spans="1:9" ht="13">
      <c r="A111" s="96">
        <v>3</v>
      </c>
      <c r="B111" s="96">
        <v>8</v>
      </c>
      <c r="C111" s="96" t="s">
        <v>37</v>
      </c>
      <c r="D111" s="96">
        <v>4</v>
      </c>
      <c r="E111" s="96" t="str">
        <f t="shared" si="0"/>
        <v>8::Computing systems::4::- Recall that, since hardware is built out of logic circuits, data and instructions alike need to be represented using binary digits</v>
      </c>
      <c r="F111" s="96" t="s">
        <v>721</v>
      </c>
      <c r="G111" s="96" t="s">
        <v>710</v>
      </c>
      <c r="H111" s="96" t="s">
        <v>722</v>
      </c>
      <c r="I111" s="96" t="s">
        <v>96</v>
      </c>
    </row>
    <row r="112" spans="1:9" ht="13">
      <c r="A112" s="96">
        <v>3</v>
      </c>
      <c r="B112" s="96">
        <v>8</v>
      </c>
      <c r="C112" s="96" t="s">
        <v>37</v>
      </c>
      <c r="D112" s="96">
        <v>5</v>
      </c>
      <c r="E112" s="96" t="str">
        <f t="shared" si="0"/>
        <v>8::Computing systems::5::- Provide broad definitions of ‘artificial intelligence’ and ‘machine learning’</v>
      </c>
      <c r="F112" s="96" t="s">
        <v>723</v>
      </c>
      <c r="G112" s="96" t="s">
        <v>710</v>
      </c>
      <c r="H112" s="96" t="s">
        <v>79</v>
      </c>
      <c r="I112" s="96" t="s">
        <v>96</v>
      </c>
    </row>
    <row r="113" spans="1:9" ht="13">
      <c r="A113" s="96">
        <v>3</v>
      </c>
      <c r="B113" s="96">
        <v>8</v>
      </c>
      <c r="C113" s="96" t="s">
        <v>37</v>
      </c>
      <c r="D113" s="96">
        <v>5</v>
      </c>
      <c r="E113" s="96" t="str">
        <f t="shared" si="0"/>
        <v>8::Computing systems::5::- Identify examples of artificial intelligence and machine learning in the real world</v>
      </c>
      <c r="F113" s="96" t="s">
        <v>724</v>
      </c>
      <c r="G113" s="96" t="s">
        <v>710</v>
      </c>
      <c r="H113" s="96" t="s">
        <v>79</v>
      </c>
      <c r="I113" s="96" t="s">
        <v>96</v>
      </c>
    </row>
    <row r="114" spans="1:9" ht="13">
      <c r="A114" s="96">
        <v>3</v>
      </c>
      <c r="B114" s="96">
        <v>8</v>
      </c>
      <c r="C114" s="96" t="s">
        <v>37</v>
      </c>
      <c r="D114" s="96">
        <v>5</v>
      </c>
      <c r="E114" s="96" t="str">
        <f t="shared" si="0"/>
        <v>8::Computing systems::5::- Describe the steps involved in training machines to perform tasks (gathering data, training, testing)</v>
      </c>
      <c r="F114" s="96" t="s">
        <v>725</v>
      </c>
      <c r="G114" s="96" t="s">
        <v>710</v>
      </c>
      <c r="H114" s="96" t="s">
        <v>79</v>
      </c>
      <c r="I114" s="96" t="s">
        <v>96</v>
      </c>
    </row>
    <row r="115" spans="1:9" ht="13">
      <c r="A115" s="96">
        <v>3</v>
      </c>
      <c r="B115" s="96">
        <v>8</v>
      </c>
      <c r="C115" s="96" t="s">
        <v>37</v>
      </c>
      <c r="D115" s="96">
        <v>5</v>
      </c>
      <c r="E115" s="96" t="str">
        <f t="shared" si="0"/>
        <v>8::Computing systems::5::- Describe how machine learning differs from traditional programming</v>
      </c>
      <c r="F115" s="96" t="s">
        <v>726</v>
      </c>
      <c r="G115" s="96" t="s">
        <v>710</v>
      </c>
      <c r="H115" s="96" t="s">
        <v>496</v>
      </c>
      <c r="I115" s="96" t="s">
        <v>96</v>
      </c>
    </row>
    <row r="116" spans="1:9" ht="13">
      <c r="A116" s="96">
        <v>3</v>
      </c>
      <c r="B116" s="96">
        <v>8</v>
      </c>
      <c r="C116" s="96" t="s">
        <v>37</v>
      </c>
      <c r="D116" s="96">
        <v>5</v>
      </c>
      <c r="E116" s="96" t="str">
        <f t="shared" si="0"/>
        <v>8::Computing systems::5::- Associate the use of artificial intelligence with moral dilemmas</v>
      </c>
      <c r="F116" s="96" t="s">
        <v>727</v>
      </c>
      <c r="G116" s="96" t="s">
        <v>710</v>
      </c>
      <c r="H116" s="96" t="s">
        <v>79</v>
      </c>
      <c r="I116" s="96" t="s">
        <v>96</v>
      </c>
    </row>
    <row r="117" spans="1:9" ht="13">
      <c r="A117" s="96">
        <v>3</v>
      </c>
      <c r="B117" s="96">
        <v>8</v>
      </c>
      <c r="C117" s="96" t="s">
        <v>37</v>
      </c>
      <c r="D117" s="96">
        <v>6</v>
      </c>
      <c r="E117" s="96" t="str">
        <f t="shared" si="0"/>
        <v>8::Computing systems::6::- Explain the implications of sharing program code</v>
      </c>
      <c r="F117" s="96" t="s">
        <v>728</v>
      </c>
      <c r="G117" s="96" t="s">
        <v>710</v>
      </c>
      <c r="H117" s="96" t="s">
        <v>729</v>
      </c>
      <c r="I117" s="96" t="s">
        <v>96</v>
      </c>
    </row>
    <row r="118" spans="1:9" ht="13">
      <c r="A118" s="96">
        <v>3</v>
      </c>
      <c r="B118" s="96">
        <v>8</v>
      </c>
      <c r="C118" s="96" t="s">
        <v>730</v>
      </c>
      <c r="D118" s="96">
        <v>1</v>
      </c>
      <c r="E118" s="96" t="str">
        <f t="shared" si="0"/>
        <v>8::Developing for the web::1::- Describe what HTML is</v>
      </c>
      <c r="F118" s="96" t="s">
        <v>731</v>
      </c>
      <c r="G118" s="96">
        <v>3.8</v>
      </c>
      <c r="H118" s="96" t="s">
        <v>27</v>
      </c>
      <c r="I118" s="96" t="s">
        <v>96</v>
      </c>
    </row>
    <row r="119" spans="1:9" ht="13">
      <c r="A119" s="96">
        <v>3</v>
      </c>
      <c r="B119" s="96">
        <v>8</v>
      </c>
      <c r="C119" s="96" t="s">
        <v>730</v>
      </c>
      <c r="D119" s="96">
        <v>1</v>
      </c>
      <c r="E119" s="96" t="str">
        <f t="shared" si="0"/>
        <v>8::Developing for the web::1::- Use HTML to structure static web pages</v>
      </c>
      <c r="F119" s="96" t="s">
        <v>732</v>
      </c>
      <c r="G119" s="96">
        <v>3.8</v>
      </c>
      <c r="H119" s="96" t="s">
        <v>733</v>
      </c>
      <c r="I119" s="96" t="s">
        <v>96</v>
      </c>
    </row>
    <row r="120" spans="1:9" ht="13">
      <c r="A120" s="96">
        <v>3</v>
      </c>
      <c r="B120" s="96">
        <v>8</v>
      </c>
      <c r="C120" s="96" t="s">
        <v>730</v>
      </c>
      <c r="D120" s="96">
        <v>1</v>
      </c>
      <c r="E120" s="96" t="str">
        <f t="shared" si="0"/>
        <v>8::Developing for the web::1::- Modify HTML tags using inline styling to improve the appearance of web pages</v>
      </c>
      <c r="F120" s="96" t="s">
        <v>734</v>
      </c>
      <c r="G120" s="96">
        <v>3.8</v>
      </c>
      <c r="H120" s="96" t="s">
        <v>735</v>
      </c>
      <c r="I120" s="96" t="s">
        <v>96</v>
      </c>
    </row>
    <row r="121" spans="1:9" ht="13">
      <c r="A121" s="96">
        <v>3</v>
      </c>
      <c r="B121" s="96">
        <v>8</v>
      </c>
      <c r="C121" s="96" t="s">
        <v>730</v>
      </c>
      <c r="D121" s="96">
        <v>2</v>
      </c>
      <c r="E121" s="96" t="str">
        <f t="shared" si="0"/>
        <v>8::Developing for the web::2::- Display images within a web page</v>
      </c>
      <c r="F121" s="96" t="s">
        <v>736</v>
      </c>
      <c r="G121" s="96">
        <v>3.8</v>
      </c>
      <c r="H121" s="96" t="s">
        <v>733</v>
      </c>
      <c r="I121" s="96" t="s">
        <v>96</v>
      </c>
    </row>
    <row r="122" spans="1:9" ht="13">
      <c r="A122" s="96">
        <v>3</v>
      </c>
      <c r="B122" s="96">
        <v>8</v>
      </c>
      <c r="C122" s="96" t="s">
        <v>730</v>
      </c>
      <c r="D122" s="96">
        <v>2</v>
      </c>
      <c r="E122" s="96" t="str">
        <f t="shared" si="0"/>
        <v>8::Developing for the web::2::- Apply HTML tags to construct a web page structure from a provided design</v>
      </c>
      <c r="F122" s="96" t="s">
        <v>737</v>
      </c>
      <c r="G122" s="96">
        <v>3.8</v>
      </c>
      <c r="H122" s="96" t="s">
        <v>733</v>
      </c>
      <c r="I122" s="96" t="s">
        <v>96</v>
      </c>
    </row>
    <row r="123" spans="1:9" ht="13">
      <c r="A123" s="96">
        <v>3</v>
      </c>
      <c r="B123" s="96">
        <v>8</v>
      </c>
      <c r="C123" s="96" t="s">
        <v>730</v>
      </c>
      <c r="D123" s="96">
        <v>3</v>
      </c>
      <c r="E123" s="96" t="str">
        <f t="shared" si="0"/>
        <v>8::Developing for the web::3::- Describe what CSS is</v>
      </c>
      <c r="F123" s="96" t="s">
        <v>738</v>
      </c>
      <c r="G123" s="96">
        <v>3.8</v>
      </c>
      <c r="H123" s="96" t="s">
        <v>733</v>
      </c>
      <c r="I123" s="96" t="s">
        <v>96</v>
      </c>
    </row>
    <row r="124" spans="1:9" ht="13">
      <c r="A124" s="96">
        <v>3</v>
      </c>
      <c r="B124" s="96">
        <v>8</v>
      </c>
      <c r="C124" s="96" t="s">
        <v>730</v>
      </c>
      <c r="D124" s="96">
        <v>3</v>
      </c>
      <c r="E124" s="96" t="str">
        <f t="shared" si="0"/>
        <v>8::Developing for the web::3::- Use CSS to style static web pages</v>
      </c>
      <c r="F124" s="96" t="s">
        <v>739</v>
      </c>
      <c r="G124" s="96">
        <v>3.8</v>
      </c>
      <c r="H124" s="96" t="s">
        <v>735</v>
      </c>
      <c r="I124" s="96" t="s">
        <v>96</v>
      </c>
    </row>
    <row r="125" spans="1:9" ht="13">
      <c r="A125" s="96">
        <v>3</v>
      </c>
      <c r="B125" s="96">
        <v>8</v>
      </c>
      <c r="C125" s="96" t="s">
        <v>730</v>
      </c>
      <c r="D125" s="96">
        <v>3</v>
      </c>
      <c r="E125" s="96" t="str">
        <f t="shared" si="0"/>
        <v>8::Developing for the web::3::- Assess the benefits of using CSS to style pages instead of in-line formatting</v>
      </c>
      <c r="F125" s="96" t="s">
        <v>740</v>
      </c>
      <c r="G125" s="96">
        <v>3.8</v>
      </c>
      <c r="H125" s="96" t="s">
        <v>741</v>
      </c>
      <c r="I125" s="96" t="s">
        <v>96</v>
      </c>
    </row>
    <row r="126" spans="1:9" ht="13">
      <c r="A126" s="96">
        <v>3</v>
      </c>
      <c r="B126" s="96">
        <v>8</v>
      </c>
      <c r="C126" s="96" t="s">
        <v>730</v>
      </c>
      <c r="D126" s="96">
        <v>4</v>
      </c>
      <c r="E126" s="96" t="str">
        <f t="shared" si="0"/>
        <v>8::Developing for the web::4::- Describe what a search engine is</v>
      </c>
      <c r="F126" s="96" t="s">
        <v>742</v>
      </c>
      <c r="G126" s="96">
        <v>3.8</v>
      </c>
      <c r="H126" s="96" t="s">
        <v>265</v>
      </c>
      <c r="I126" s="96" t="s">
        <v>96</v>
      </c>
    </row>
    <row r="127" spans="1:9" ht="13">
      <c r="A127" s="96">
        <v>3</v>
      </c>
      <c r="B127" s="96">
        <v>8</v>
      </c>
      <c r="C127" s="96" t="s">
        <v>730</v>
      </c>
      <c r="D127" s="96">
        <v>4</v>
      </c>
      <c r="E127" s="96" t="str">
        <f t="shared" si="0"/>
        <v>8::Developing for the web::4::- Explain how search engines ‘crawl’ through the World Wide Web and how they select and rank results</v>
      </c>
      <c r="F127" s="96" t="s">
        <v>743</v>
      </c>
      <c r="G127" s="96">
        <v>3.8</v>
      </c>
      <c r="H127" s="96" t="s">
        <v>744</v>
      </c>
      <c r="I127" s="96" t="s">
        <v>96</v>
      </c>
    </row>
    <row r="128" spans="1:9" ht="13">
      <c r="A128" s="96">
        <v>3</v>
      </c>
      <c r="B128" s="96">
        <v>8</v>
      </c>
      <c r="C128" s="96" t="s">
        <v>730</v>
      </c>
      <c r="D128" s="96">
        <v>4</v>
      </c>
      <c r="E128" s="96" t="str">
        <f t="shared" si="0"/>
        <v>8::Developing for the web::4::- Analyse how search engines select and rank results when searches are made</v>
      </c>
      <c r="F128" s="96" t="s">
        <v>745</v>
      </c>
      <c r="G128" s="96">
        <v>3.8</v>
      </c>
      <c r="H128" s="96" t="s">
        <v>746</v>
      </c>
      <c r="I128" s="96" t="s">
        <v>96</v>
      </c>
    </row>
    <row r="129" spans="1:9" ht="13">
      <c r="A129" s="96">
        <v>3</v>
      </c>
      <c r="B129" s="96">
        <v>8</v>
      </c>
      <c r="C129" s="96" t="s">
        <v>730</v>
      </c>
      <c r="D129" s="96">
        <v>5</v>
      </c>
      <c r="E129" s="96" t="str">
        <f t="shared" si="0"/>
        <v>8::Developing for the web::5::- Use search technologies effectively</v>
      </c>
      <c r="F129" s="96" t="s">
        <v>747</v>
      </c>
      <c r="G129" s="96">
        <v>3.8</v>
      </c>
      <c r="H129" s="96" t="s">
        <v>448</v>
      </c>
      <c r="I129" s="96" t="s">
        <v>96</v>
      </c>
    </row>
    <row r="130" spans="1:9" ht="13">
      <c r="A130" s="96">
        <v>3</v>
      </c>
      <c r="B130" s="96">
        <v>8</v>
      </c>
      <c r="C130" s="96" t="s">
        <v>730</v>
      </c>
      <c r="D130" s="96">
        <v>5</v>
      </c>
      <c r="E130" s="96" t="str">
        <f t="shared" si="0"/>
        <v>8::Developing for the web::5::- Discuss the impact of search technologies and the issues that arise by the way they function and the way they are used</v>
      </c>
      <c r="F130" s="96" t="s">
        <v>748</v>
      </c>
      <c r="G130" s="96">
        <v>3.8</v>
      </c>
      <c r="H130" s="96" t="s">
        <v>749</v>
      </c>
      <c r="I130" s="96" t="s">
        <v>96</v>
      </c>
    </row>
    <row r="131" spans="1:9" ht="13">
      <c r="A131" s="96">
        <v>3</v>
      </c>
      <c r="B131" s="96">
        <v>8</v>
      </c>
      <c r="C131" s="96" t="s">
        <v>730</v>
      </c>
      <c r="D131" s="96">
        <v>5</v>
      </c>
      <c r="E131" s="96" t="str">
        <f t="shared" si="0"/>
        <v>8::Developing for the web::5::- Create hyperlinks to allow users to navigate between multiple web pages</v>
      </c>
      <c r="F131" s="96" t="s">
        <v>750</v>
      </c>
      <c r="G131" s="96">
        <v>3.8</v>
      </c>
      <c r="H131" s="96" t="s">
        <v>735</v>
      </c>
      <c r="I131" s="96" t="s">
        <v>96</v>
      </c>
    </row>
    <row r="132" spans="1:9" ht="13">
      <c r="A132" s="96">
        <v>3</v>
      </c>
      <c r="B132" s="96">
        <v>8</v>
      </c>
      <c r="C132" s="96" t="s">
        <v>730</v>
      </c>
      <c r="D132" s="96">
        <v>6</v>
      </c>
      <c r="E132" s="96" t="str">
        <f t="shared" si="0"/>
        <v>8::Developing for the web::6::- Implement navigation to complete a functioning website</v>
      </c>
      <c r="F132" s="96" t="s">
        <v>751</v>
      </c>
      <c r="G132" s="96">
        <v>3.8</v>
      </c>
      <c r="H132" s="96" t="s">
        <v>694</v>
      </c>
      <c r="I132" s="96" t="s">
        <v>96</v>
      </c>
    </row>
    <row r="133" spans="1:9" ht="13">
      <c r="A133" s="96">
        <v>3</v>
      </c>
      <c r="B133" s="96">
        <v>8</v>
      </c>
      <c r="C133" s="96" t="s">
        <v>730</v>
      </c>
      <c r="D133" s="96">
        <v>6</v>
      </c>
      <c r="E133" s="96" t="str">
        <f t="shared" si="0"/>
        <v>8::Developing for the web::6::- Complete summative assessment</v>
      </c>
      <c r="F133" s="96" t="s">
        <v>752</v>
      </c>
      <c r="G133" s="96">
        <v>3.8</v>
      </c>
      <c r="H133" s="96" t="s">
        <v>753</v>
      </c>
      <c r="I133" s="96" t="s">
        <v>96</v>
      </c>
    </row>
    <row r="134" spans="1:9" ht="13">
      <c r="A134" s="96">
        <v>3</v>
      </c>
      <c r="B134" s="96">
        <v>8</v>
      </c>
      <c r="C134" s="96" t="s">
        <v>754</v>
      </c>
      <c r="D134" s="96">
        <v>1</v>
      </c>
      <c r="E134" s="96" t="str">
        <f t="shared" si="0"/>
        <v>8::Introduction to Python programming::1::- Describe what algorithms and programs are and how they differ</v>
      </c>
      <c r="F134" s="96" t="s">
        <v>755</v>
      </c>
      <c r="G134" s="96" t="s">
        <v>756</v>
      </c>
      <c r="H134" s="96" t="s">
        <v>234</v>
      </c>
      <c r="I134" s="96" t="s">
        <v>96</v>
      </c>
    </row>
    <row r="135" spans="1:9" ht="13">
      <c r="A135" s="96">
        <v>3</v>
      </c>
      <c r="B135" s="96">
        <v>8</v>
      </c>
      <c r="C135" s="96" t="s">
        <v>754</v>
      </c>
      <c r="D135" s="96">
        <v>1</v>
      </c>
      <c r="E135" s="96" t="str">
        <f t="shared" si="0"/>
        <v>8::Introduction to Python programming::1::- Recall that a program written in a programming language needs to be translated in order to be executed by a machine</v>
      </c>
      <c r="F135" s="96" t="s">
        <v>757</v>
      </c>
      <c r="G135" s="96" t="s">
        <v>756</v>
      </c>
      <c r="H135" s="96" t="s">
        <v>496</v>
      </c>
      <c r="I135" s="96" t="s">
        <v>96</v>
      </c>
    </row>
    <row r="136" spans="1:9" ht="13">
      <c r="A136" s="96">
        <v>3</v>
      </c>
      <c r="B136" s="96">
        <v>8</v>
      </c>
      <c r="C136" s="96" t="s">
        <v>754</v>
      </c>
      <c r="D136" s="96">
        <v>1</v>
      </c>
      <c r="E136" s="96" t="str">
        <f t="shared" si="0"/>
        <v>8::Introduction to Python programming::1::- Write simple Python programs that display messages, assign values to variables, and receive keyboard input</v>
      </c>
      <c r="F136" s="96" t="s">
        <v>758</v>
      </c>
      <c r="G136" s="96" t="s">
        <v>756</v>
      </c>
      <c r="H136" s="96" t="s">
        <v>27</v>
      </c>
      <c r="I136" s="96" t="s">
        <v>96</v>
      </c>
    </row>
    <row r="137" spans="1:9" ht="13">
      <c r="A137" s="96">
        <v>3</v>
      </c>
      <c r="B137" s="96">
        <v>8</v>
      </c>
      <c r="C137" s="96" t="s">
        <v>754</v>
      </c>
      <c r="D137" s="96">
        <v>1</v>
      </c>
      <c r="E137" s="96" t="str">
        <f t="shared" si="0"/>
        <v>8::Introduction to Python programming::1::- Locate and correct common syntax errors</v>
      </c>
      <c r="F137" s="96" t="s">
        <v>759</v>
      </c>
      <c r="G137" s="96" t="s">
        <v>756</v>
      </c>
      <c r="H137" s="96" t="s">
        <v>27</v>
      </c>
      <c r="I137" s="96" t="s">
        <v>96</v>
      </c>
    </row>
    <row r="138" spans="1:9" ht="13">
      <c r="A138" s="96">
        <v>3</v>
      </c>
      <c r="B138" s="96">
        <v>8</v>
      </c>
      <c r="C138" s="96" t="s">
        <v>754</v>
      </c>
      <c r="D138" s="96">
        <v>2</v>
      </c>
      <c r="E138" s="96" t="str">
        <f t="shared" si="0"/>
        <v>8::Introduction to Python programming::2::- Describe the semantics of assignment statements</v>
      </c>
      <c r="F138" s="96" t="s">
        <v>760</v>
      </c>
      <c r="G138" s="96" t="s">
        <v>756</v>
      </c>
      <c r="H138" s="96" t="s">
        <v>27</v>
      </c>
      <c r="I138" s="96" t="s">
        <v>96</v>
      </c>
    </row>
    <row r="139" spans="1:9" ht="13">
      <c r="A139" s="96">
        <v>3</v>
      </c>
      <c r="B139" s="96">
        <v>8</v>
      </c>
      <c r="C139" s="96" t="s">
        <v>754</v>
      </c>
      <c r="D139" s="96">
        <v>2</v>
      </c>
      <c r="E139" s="96" t="str">
        <f t="shared" si="0"/>
        <v>8::Introduction to Python programming::2::- Use simple arithmetic expressions in assignment statements to calculate values</v>
      </c>
      <c r="F139" s="96" t="s">
        <v>761</v>
      </c>
      <c r="G139" s="96" t="s">
        <v>756</v>
      </c>
      <c r="H139" s="96" t="s">
        <v>27</v>
      </c>
      <c r="I139" s="96" t="s">
        <v>96</v>
      </c>
    </row>
    <row r="140" spans="1:9" ht="13">
      <c r="A140" s="96">
        <v>3</v>
      </c>
      <c r="B140" s="96">
        <v>8</v>
      </c>
      <c r="C140" s="96" t="s">
        <v>754</v>
      </c>
      <c r="D140" s="96">
        <v>2</v>
      </c>
      <c r="E140" s="96" t="str">
        <f t="shared" si="0"/>
        <v>8::Introduction to Python programming::2::- Receive input from the keyboard and convert it to a numerical value</v>
      </c>
      <c r="F140" s="96" t="s">
        <v>762</v>
      </c>
      <c r="G140" s="96" t="s">
        <v>756</v>
      </c>
      <c r="H140" s="96" t="s">
        <v>27</v>
      </c>
      <c r="I140" s="96" t="s">
        <v>96</v>
      </c>
    </row>
    <row r="141" spans="1:9" ht="13">
      <c r="A141" s="96">
        <v>3</v>
      </c>
      <c r="B141" s="96">
        <v>8</v>
      </c>
      <c r="C141" s="96" t="s">
        <v>754</v>
      </c>
      <c r="D141" s="96">
        <v>3</v>
      </c>
      <c r="E141" s="96" t="str">
        <f t="shared" si="0"/>
        <v>8::Introduction to Python programming::3::- Use relational operators to form logical expressions</v>
      </c>
      <c r="F141" s="96" t="s">
        <v>763</v>
      </c>
      <c r="G141" s="96" t="s">
        <v>756</v>
      </c>
      <c r="H141" s="96" t="s">
        <v>27</v>
      </c>
      <c r="I141" s="96" t="s">
        <v>96</v>
      </c>
    </row>
    <row r="142" spans="1:9" ht="13">
      <c r="A142" s="96">
        <v>3</v>
      </c>
      <c r="B142" s="96">
        <v>8</v>
      </c>
      <c r="C142" s="96" t="s">
        <v>754</v>
      </c>
      <c r="D142" s="96">
        <v>3</v>
      </c>
      <c r="E142" s="96" t="str">
        <f t="shared" si="0"/>
        <v>8::Introduction to Python programming::3::- Use binary selection (if, else statements) to control the flow of program execution</v>
      </c>
      <c r="F142" s="96" t="s">
        <v>764</v>
      </c>
      <c r="G142" s="96" t="s">
        <v>756</v>
      </c>
      <c r="H142" s="96" t="s">
        <v>27</v>
      </c>
      <c r="I142" s="96" t="s">
        <v>96</v>
      </c>
    </row>
    <row r="143" spans="1:9" ht="13">
      <c r="A143" s="96">
        <v>3</v>
      </c>
      <c r="B143" s="96">
        <v>8</v>
      </c>
      <c r="C143" s="96" t="s">
        <v>754</v>
      </c>
      <c r="D143" s="96">
        <v>3</v>
      </c>
      <c r="E143" s="96" t="str">
        <f t="shared" si="0"/>
        <v>8::Introduction to Python programming::3::- Generate and use random integers</v>
      </c>
      <c r="F143" s="96" t="s">
        <v>765</v>
      </c>
      <c r="G143" s="96" t="s">
        <v>756</v>
      </c>
      <c r="H143" s="96" t="s">
        <v>27</v>
      </c>
      <c r="I143" s="96" t="s">
        <v>96</v>
      </c>
    </row>
    <row r="144" spans="1:9" ht="13">
      <c r="A144" s="96">
        <v>3</v>
      </c>
      <c r="B144" s="96">
        <v>8</v>
      </c>
      <c r="C144" s="96" t="s">
        <v>754</v>
      </c>
      <c r="D144" s="96">
        <v>4</v>
      </c>
      <c r="E144" s="96" t="str">
        <f t="shared" si="0"/>
        <v>8::Introduction to Python programming::4::- Use multi-branch selection (if, elif, else statements) to control the flow of program execution</v>
      </c>
      <c r="F144" s="96" t="s">
        <v>766</v>
      </c>
      <c r="G144" s="96" t="s">
        <v>756</v>
      </c>
      <c r="H144" s="96" t="s">
        <v>27</v>
      </c>
      <c r="I144" s="96" t="s">
        <v>96</v>
      </c>
    </row>
    <row r="145" spans="1:9" ht="13">
      <c r="A145" s="96">
        <v>3</v>
      </c>
      <c r="B145" s="96">
        <v>8</v>
      </c>
      <c r="C145" s="96" t="s">
        <v>754</v>
      </c>
      <c r="D145" s="96">
        <v>4</v>
      </c>
      <c r="E145" s="96" t="str">
        <f t="shared" si="0"/>
        <v>8::Introduction to Python programming::4::- Describe how iteration (while statements) controls the flow of program execution</v>
      </c>
      <c r="F145" s="96" t="s">
        <v>767</v>
      </c>
      <c r="G145" s="96" t="s">
        <v>756</v>
      </c>
      <c r="H145" s="96" t="s">
        <v>27</v>
      </c>
      <c r="I145" s="96" t="s">
        <v>96</v>
      </c>
    </row>
    <row r="146" spans="1:9" ht="13">
      <c r="A146" s="96">
        <v>3</v>
      </c>
      <c r="B146" s="96">
        <v>8</v>
      </c>
      <c r="C146" s="96" t="s">
        <v>754</v>
      </c>
      <c r="D146" s="96">
        <v>5</v>
      </c>
      <c r="E146" s="96" t="str">
        <f t="shared" si="0"/>
        <v>8::Introduction to Python programming::5::- Use iteration (while loops) to control the flow of program execution</v>
      </c>
      <c r="F146" s="96" t="s">
        <v>768</v>
      </c>
      <c r="G146" s="96" t="s">
        <v>756</v>
      </c>
      <c r="H146" s="96" t="s">
        <v>27</v>
      </c>
      <c r="I146" s="96" t="s">
        <v>96</v>
      </c>
    </row>
    <row r="147" spans="1:9" ht="13">
      <c r="A147" s="96">
        <v>3</v>
      </c>
      <c r="B147" s="96">
        <v>8</v>
      </c>
      <c r="C147" s="96" t="s">
        <v>754</v>
      </c>
      <c r="D147" s="96">
        <v>5</v>
      </c>
      <c r="E147" s="96" t="str">
        <f t="shared" si="0"/>
        <v>8::Introduction to Python programming::5::- Use variables as counters in iterative programs</v>
      </c>
      <c r="F147" s="96" t="s">
        <v>769</v>
      </c>
      <c r="G147" s="96" t="s">
        <v>756</v>
      </c>
      <c r="H147" s="96" t="s">
        <v>27</v>
      </c>
      <c r="I147" s="96" t="s">
        <v>96</v>
      </c>
    </row>
    <row r="148" spans="1:9" ht="13">
      <c r="A148" s="96">
        <v>3</v>
      </c>
      <c r="B148" s="96">
        <v>8</v>
      </c>
      <c r="C148" s="96" t="s">
        <v>754</v>
      </c>
      <c r="D148" s="96">
        <v>6</v>
      </c>
      <c r="E148" s="96" t="str">
        <f t="shared" si="0"/>
        <v>8::Introduction to Python programming::6::- Combine iteration and selection to control the flow of program execution</v>
      </c>
      <c r="F148" s="96" t="s">
        <v>770</v>
      </c>
      <c r="G148" s="96" t="s">
        <v>756</v>
      </c>
      <c r="H148" s="96" t="s">
        <v>27</v>
      </c>
      <c r="I148" s="96" t="s">
        <v>96</v>
      </c>
    </row>
    <row r="149" spans="1:9" ht="13">
      <c r="A149" s="96">
        <v>3</v>
      </c>
      <c r="B149" s="96">
        <v>8</v>
      </c>
      <c r="C149" s="96" t="s">
        <v>754</v>
      </c>
      <c r="D149" s="96">
        <v>6</v>
      </c>
      <c r="E149" s="96" t="str">
        <f t="shared" si="0"/>
        <v>8::Introduction to Python programming::6::- Use Boolean variables as flags</v>
      </c>
      <c r="F149" s="96" t="s">
        <v>771</v>
      </c>
      <c r="G149" s="96" t="s">
        <v>756</v>
      </c>
      <c r="H149" s="96" t="s">
        <v>27</v>
      </c>
      <c r="I149" s="96" t="s">
        <v>96</v>
      </c>
    </row>
    <row r="150" spans="1:9" ht="13">
      <c r="A150" s="96">
        <v>3</v>
      </c>
      <c r="B150" s="96">
        <v>8</v>
      </c>
      <c r="C150" s="96" t="s">
        <v>772</v>
      </c>
      <c r="D150" s="96">
        <v>1</v>
      </c>
      <c r="E150" s="96" t="str">
        <f t="shared" si="0"/>
        <v>8::Media – Vector graphics::1::- Draw basic shapes (rectangle, ellipse, polygon, star) with different properties (fill and stroke, shape-specific attributes)</v>
      </c>
      <c r="F150" s="96" t="s">
        <v>773</v>
      </c>
      <c r="G150" s="96" t="s">
        <v>690</v>
      </c>
      <c r="H150" s="96" t="s">
        <v>95</v>
      </c>
      <c r="I150" s="96" t="s">
        <v>96</v>
      </c>
    </row>
    <row r="151" spans="1:9" ht="13">
      <c r="A151" s="96">
        <v>3</v>
      </c>
      <c r="B151" s="96">
        <v>8</v>
      </c>
      <c r="C151" s="96" t="s">
        <v>772</v>
      </c>
      <c r="D151" s="96">
        <v>1</v>
      </c>
      <c r="E151" s="96" t="str">
        <f t="shared" si="0"/>
        <v>8::Media – Vector graphics::1::- Manipulate individual objects (select, move, resize, rotate, duplicate, flip, z-order)</v>
      </c>
      <c r="F151" s="96" t="s">
        <v>774</v>
      </c>
      <c r="G151" s="96" t="s">
        <v>690</v>
      </c>
      <c r="H151" s="96" t="s">
        <v>95</v>
      </c>
      <c r="I151" s="96" t="s">
        <v>96</v>
      </c>
    </row>
    <row r="152" spans="1:9" ht="13">
      <c r="A152" s="96">
        <v>3</v>
      </c>
      <c r="B152" s="96">
        <v>8</v>
      </c>
      <c r="C152" s="96" t="s">
        <v>772</v>
      </c>
      <c r="D152" s="96">
        <v>2</v>
      </c>
      <c r="E152" s="96" t="str">
        <f t="shared" si="0"/>
        <v>8::Media – Vector graphics::2::- Manipulate groups of objects (select, group/ungroup, align, distribute)</v>
      </c>
      <c r="F152" s="96" t="s">
        <v>775</v>
      </c>
      <c r="G152" s="96" t="s">
        <v>690</v>
      </c>
      <c r="H152" s="96" t="s">
        <v>95</v>
      </c>
      <c r="I152" s="96" t="s">
        <v>96</v>
      </c>
    </row>
    <row r="153" spans="1:9" ht="13">
      <c r="A153" s="96">
        <v>3</v>
      </c>
      <c r="B153" s="96">
        <v>8</v>
      </c>
      <c r="C153" s="96" t="s">
        <v>772</v>
      </c>
      <c r="D153" s="96">
        <v>2</v>
      </c>
      <c r="E153" s="96" t="str">
        <f t="shared" si="0"/>
        <v>8::Media – Vector graphics::2::- Combine paths by applying operations (union, difference, intersection)</v>
      </c>
      <c r="F153" s="96" t="s">
        <v>776</v>
      </c>
      <c r="G153" s="96" t="s">
        <v>690</v>
      </c>
      <c r="H153" s="96" t="s">
        <v>95</v>
      </c>
      <c r="I153" s="96" t="s">
        <v>96</v>
      </c>
    </row>
    <row r="154" spans="1:9" ht="13">
      <c r="A154" s="96">
        <v>3</v>
      </c>
      <c r="B154" s="96">
        <v>8</v>
      </c>
      <c r="C154" s="96" t="s">
        <v>772</v>
      </c>
      <c r="D154" s="96">
        <v>3</v>
      </c>
      <c r="E154" s="96" t="str">
        <f t="shared" si="0"/>
        <v>8::Media – Vector graphics::3::- Convert objects to paths</v>
      </c>
      <c r="F154" s="96" t="s">
        <v>777</v>
      </c>
      <c r="G154" s="96" t="s">
        <v>690</v>
      </c>
      <c r="H154" s="96" t="s">
        <v>95</v>
      </c>
      <c r="I154" s="96" t="s">
        <v>96</v>
      </c>
    </row>
    <row r="155" spans="1:9" ht="13">
      <c r="A155" s="96">
        <v>3</v>
      </c>
      <c r="B155" s="96">
        <v>8</v>
      </c>
      <c r="C155" s="96" t="s">
        <v>772</v>
      </c>
      <c r="D155" s="96">
        <v>3</v>
      </c>
      <c r="E155" s="96" t="str">
        <f t="shared" si="0"/>
        <v>8::Media – Vector graphics::3::- Draw paths</v>
      </c>
      <c r="F155" s="96" t="s">
        <v>778</v>
      </c>
      <c r="G155" s="96" t="s">
        <v>690</v>
      </c>
      <c r="H155" s="96" t="s">
        <v>95</v>
      </c>
      <c r="I155" s="96" t="s">
        <v>96</v>
      </c>
    </row>
    <row r="156" spans="1:9" ht="13">
      <c r="A156" s="96">
        <v>3</v>
      </c>
      <c r="B156" s="96">
        <v>8</v>
      </c>
      <c r="C156" s="96" t="s">
        <v>772</v>
      </c>
      <c r="D156" s="96">
        <v>3</v>
      </c>
      <c r="E156" s="96" t="str">
        <f t="shared" si="0"/>
        <v>8::Media – Vector graphics::3::- Edit path nodes</v>
      </c>
      <c r="F156" s="96" t="s">
        <v>779</v>
      </c>
      <c r="G156" s="96" t="s">
        <v>690</v>
      </c>
      <c r="H156" s="96" t="s">
        <v>95</v>
      </c>
      <c r="I156" s="96" t="s">
        <v>96</v>
      </c>
    </row>
    <row r="157" spans="1:9" ht="13">
      <c r="A157" s="96">
        <v>3</v>
      </c>
      <c r="B157" s="96">
        <v>8</v>
      </c>
      <c r="C157" s="96" t="s">
        <v>772</v>
      </c>
      <c r="D157" s="96">
        <v>4</v>
      </c>
      <c r="E157" s="96" t="str">
        <f t="shared" si="0"/>
        <v>8::Media – Vector graphics::4::- Combine multiple tools and techniques to create a vector graphic design</v>
      </c>
      <c r="F157" s="96" t="s">
        <v>780</v>
      </c>
      <c r="G157" s="96" t="s">
        <v>690</v>
      </c>
      <c r="H157" s="96" t="s">
        <v>103</v>
      </c>
      <c r="I157" s="96" t="s">
        <v>96</v>
      </c>
    </row>
    <row r="158" spans="1:9" ht="13">
      <c r="A158" s="96">
        <v>3</v>
      </c>
      <c r="B158" s="96">
        <v>8</v>
      </c>
      <c r="C158" s="96" t="s">
        <v>772</v>
      </c>
      <c r="D158" s="96">
        <v>5</v>
      </c>
      <c r="E158" s="96" t="str">
        <f t="shared" si="0"/>
        <v>8::Media – Vector graphics::5::- Explain what vector graphics are</v>
      </c>
      <c r="F158" s="96" t="s">
        <v>781</v>
      </c>
      <c r="G158" s="96" t="s">
        <v>690</v>
      </c>
      <c r="H158" s="96" t="s">
        <v>206</v>
      </c>
      <c r="I158" s="96" t="s">
        <v>96</v>
      </c>
    </row>
    <row r="159" spans="1:9" ht="13">
      <c r="A159" s="96">
        <v>3</v>
      </c>
      <c r="B159" s="96">
        <v>8</v>
      </c>
      <c r="C159" s="96" t="s">
        <v>772</v>
      </c>
      <c r="D159" s="96">
        <v>5</v>
      </c>
      <c r="E159" s="96" t="str">
        <f t="shared" si="0"/>
        <v>8::Media – Vector graphics::5::- Provide examples where using vector graphics would be appropriate</v>
      </c>
      <c r="F159" s="96" t="s">
        <v>782</v>
      </c>
      <c r="G159" s="96" t="s">
        <v>690</v>
      </c>
      <c r="H159" s="96" t="s">
        <v>206</v>
      </c>
      <c r="I159" s="96" t="s">
        <v>96</v>
      </c>
    </row>
    <row r="160" spans="1:9" ht="13">
      <c r="A160" s="96">
        <v>3</v>
      </c>
      <c r="B160" s="96">
        <v>8</v>
      </c>
      <c r="C160" s="96" t="s">
        <v>772</v>
      </c>
      <c r="D160" s="96">
        <v>6</v>
      </c>
      <c r="E160" s="96" t="str">
        <f t="shared" si="0"/>
        <v>8::Media – Vector graphics::6::- Peer assess another pair’s project work</v>
      </c>
      <c r="F160" s="96" t="s">
        <v>783</v>
      </c>
      <c r="G160" s="96" t="s">
        <v>690</v>
      </c>
      <c r="H160" s="96" t="s">
        <v>15</v>
      </c>
      <c r="I160" s="96" t="s">
        <v>96</v>
      </c>
    </row>
    <row r="161" spans="1:9" ht="13">
      <c r="A161" s="96">
        <v>3</v>
      </c>
      <c r="B161" s="96">
        <v>8</v>
      </c>
      <c r="C161" s="96" t="s">
        <v>772</v>
      </c>
      <c r="D161" s="96">
        <v>6</v>
      </c>
      <c r="E161" s="96" t="str">
        <f t="shared" si="0"/>
        <v>8::Media – Vector graphics::6::- Improve your own project work based on feedback</v>
      </c>
      <c r="F161" s="96" t="s">
        <v>784</v>
      </c>
      <c r="G161" s="96" t="s">
        <v>690</v>
      </c>
      <c r="H161" s="96" t="s">
        <v>192</v>
      </c>
      <c r="I161" s="96" t="s">
        <v>96</v>
      </c>
    </row>
    <row r="162" spans="1:9" ht="13">
      <c r="A162" s="96">
        <v>3</v>
      </c>
      <c r="B162" s="96">
        <v>8</v>
      </c>
      <c r="C162" s="96" t="s">
        <v>772</v>
      </c>
      <c r="D162" s="96">
        <v>6</v>
      </c>
      <c r="E162" s="96" t="str">
        <f t="shared" si="0"/>
        <v>8::Media – Vector graphics::6::- Complete a summative assessment</v>
      </c>
      <c r="F162" s="96" t="s">
        <v>785</v>
      </c>
      <c r="G162" s="96" t="s">
        <v>690</v>
      </c>
      <c r="H162" s="96" t="s">
        <v>371</v>
      </c>
      <c r="I162" s="96" t="s">
        <v>96</v>
      </c>
    </row>
    <row r="163" spans="1:9" ht="13">
      <c r="A163" s="96">
        <v>3</v>
      </c>
      <c r="B163" s="96">
        <v>8</v>
      </c>
      <c r="C163" s="96" t="s">
        <v>786</v>
      </c>
      <c r="D163" s="96">
        <v>1</v>
      </c>
      <c r="E163" s="96" t="str">
        <f t="shared" si="0"/>
        <v>8::Mobile app development::1::- Identify when a problem needs to be broken down</v>
      </c>
      <c r="F163" s="96" t="s">
        <v>787</v>
      </c>
      <c r="G163" s="96" t="s">
        <v>788</v>
      </c>
      <c r="H163" s="96" t="s">
        <v>234</v>
      </c>
      <c r="I163" s="96" t="s">
        <v>96</v>
      </c>
    </row>
    <row r="164" spans="1:9" ht="13">
      <c r="A164" s="96">
        <v>3</v>
      </c>
      <c r="B164" s="96">
        <v>8</v>
      </c>
      <c r="C164" s="96" t="s">
        <v>786</v>
      </c>
      <c r="D164" s="96">
        <v>1</v>
      </c>
      <c r="E164" s="96" t="str">
        <f t="shared" si="0"/>
        <v>8::Mobile app development::1::- Implement and customise GUI elements to meet the needs of the user</v>
      </c>
      <c r="F164" s="96" t="s">
        <v>789</v>
      </c>
      <c r="G164" s="96" t="s">
        <v>788</v>
      </c>
      <c r="H164" s="96" t="s">
        <v>790</v>
      </c>
      <c r="I164" s="96" t="s">
        <v>96</v>
      </c>
    </row>
    <row r="165" spans="1:9" ht="13">
      <c r="A165" s="96">
        <v>3</v>
      </c>
      <c r="B165" s="96">
        <v>8</v>
      </c>
      <c r="C165" s="96" t="s">
        <v>786</v>
      </c>
      <c r="D165" s="96">
        <v>2</v>
      </c>
      <c r="E165" s="96" t="str">
        <f t="shared" si="0"/>
        <v>8::Mobile app development::2::- Recognise that events can control the flow of a program</v>
      </c>
      <c r="F165" s="96" t="s">
        <v>791</v>
      </c>
      <c r="G165" s="96" t="s">
        <v>788</v>
      </c>
      <c r="H165" s="96" t="s">
        <v>27</v>
      </c>
      <c r="I165" s="96" t="s">
        <v>96</v>
      </c>
    </row>
    <row r="166" spans="1:9" ht="13">
      <c r="A166" s="96">
        <v>3</v>
      </c>
      <c r="B166" s="96">
        <v>8</v>
      </c>
      <c r="C166" s="96" t="s">
        <v>786</v>
      </c>
      <c r="D166" s="96">
        <v>2</v>
      </c>
      <c r="E166" s="96" t="str">
        <f t="shared" si="0"/>
        <v>8::Mobile app development::2::- Use user input in an event-driven programming environment</v>
      </c>
      <c r="F166" s="96" t="s">
        <v>792</v>
      </c>
      <c r="G166" s="96" t="s">
        <v>788</v>
      </c>
      <c r="H166" s="96" t="s">
        <v>318</v>
      </c>
      <c r="I166" s="96" t="s">
        <v>96</v>
      </c>
    </row>
    <row r="167" spans="1:9" ht="13">
      <c r="A167" s="96">
        <v>3</v>
      </c>
      <c r="B167" s="96">
        <v>8</v>
      </c>
      <c r="C167" s="96" t="s">
        <v>786</v>
      </c>
      <c r="D167" s="96">
        <v>2</v>
      </c>
      <c r="E167" s="96" t="str">
        <f t="shared" si="0"/>
        <v>8::Mobile app development::2::- Use variables in an event-driven programming environment</v>
      </c>
      <c r="F167" s="96" t="s">
        <v>793</v>
      </c>
      <c r="G167" s="96" t="s">
        <v>788</v>
      </c>
      <c r="H167" s="96" t="s">
        <v>318</v>
      </c>
      <c r="I167" s="96" t="s">
        <v>96</v>
      </c>
    </row>
    <row r="168" spans="1:9" ht="13">
      <c r="A168" s="96">
        <v>3</v>
      </c>
      <c r="B168" s="96">
        <v>8</v>
      </c>
      <c r="C168" s="96" t="s">
        <v>786</v>
      </c>
      <c r="D168" s="96">
        <v>2</v>
      </c>
      <c r="E168" s="96" t="str">
        <f t="shared" si="0"/>
        <v>8::Mobile app development::2::- Develop a partially complete application to include additional functionality</v>
      </c>
      <c r="F168" s="96" t="s">
        <v>794</v>
      </c>
      <c r="G168" s="96" t="s">
        <v>788</v>
      </c>
      <c r="H168" s="96" t="s">
        <v>790</v>
      </c>
      <c r="I168" s="96" t="s">
        <v>96</v>
      </c>
    </row>
    <row r="169" spans="1:9" ht="13">
      <c r="A169" s="96">
        <v>3</v>
      </c>
      <c r="B169" s="96">
        <v>8</v>
      </c>
      <c r="C169" s="96" t="s">
        <v>786</v>
      </c>
      <c r="D169" s="96">
        <v>3</v>
      </c>
      <c r="E169" s="96" t="str">
        <f t="shared" si="0"/>
        <v>8::Mobile app development::3::- Identify and fix common coding errors</v>
      </c>
      <c r="F169" s="96" t="s">
        <v>795</v>
      </c>
      <c r="G169" s="96" t="s">
        <v>788</v>
      </c>
      <c r="H169" s="96" t="s">
        <v>318</v>
      </c>
      <c r="I169" s="96" t="s">
        <v>96</v>
      </c>
    </row>
    <row r="170" spans="1:9" ht="13">
      <c r="A170" s="96">
        <v>3</v>
      </c>
      <c r="B170" s="96">
        <v>8</v>
      </c>
      <c r="C170" s="96" t="s">
        <v>786</v>
      </c>
      <c r="D170" s="96">
        <v>3</v>
      </c>
      <c r="E170" s="96" t="str">
        <f t="shared" si="0"/>
        <v>8::Mobile app development::3::- Pass the value of a variable into an object</v>
      </c>
      <c r="F170" s="96" t="s">
        <v>796</v>
      </c>
      <c r="G170" s="96" t="s">
        <v>788</v>
      </c>
      <c r="H170" s="96" t="s">
        <v>27</v>
      </c>
      <c r="I170" s="96" t="s">
        <v>96</v>
      </c>
    </row>
    <row r="171" spans="1:9" ht="13">
      <c r="A171" s="96">
        <v>3</v>
      </c>
      <c r="B171" s="96">
        <v>8</v>
      </c>
      <c r="C171" s="96" t="s">
        <v>786</v>
      </c>
      <c r="D171" s="96">
        <v>3</v>
      </c>
      <c r="E171" s="96" t="str">
        <f t="shared" si="0"/>
        <v>8::Mobile app development::3::- Establish user needs when completing a creative project</v>
      </c>
      <c r="F171" s="96" t="s">
        <v>797</v>
      </c>
      <c r="G171" s="96" t="s">
        <v>788</v>
      </c>
      <c r="H171" s="96" t="s">
        <v>15</v>
      </c>
      <c r="I171" s="96" t="s">
        <v>96</v>
      </c>
    </row>
    <row r="172" spans="1:9" ht="13">
      <c r="A172" s="96">
        <v>3</v>
      </c>
      <c r="B172" s="96">
        <v>8</v>
      </c>
      <c r="C172" s="96" t="s">
        <v>786</v>
      </c>
      <c r="D172" s="96">
        <v>4</v>
      </c>
      <c r="E172" s="96" t="str">
        <f t="shared" si="0"/>
        <v>8::Mobile app development::4::- Apply decomposition to break down a large problem into more manageable steps</v>
      </c>
      <c r="F172" s="96" t="s">
        <v>798</v>
      </c>
      <c r="G172" s="96" t="s">
        <v>788</v>
      </c>
      <c r="H172" s="96" t="s">
        <v>148</v>
      </c>
      <c r="I172" s="96" t="s">
        <v>96</v>
      </c>
    </row>
    <row r="173" spans="1:9" ht="13">
      <c r="A173" s="96">
        <v>3</v>
      </c>
      <c r="B173" s="96">
        <v>8</v>
      </c>
      <c r="C173" s="96" t="s">
        <v>786</v>
      </c>
      <c r="D173" s="96">
        <v>4</v>
      </c>
      <c r="E173" s="96" t="str">
        <f t="shared" si="0"/>
        <v>8::Mobile app development::4::- Use user input in a block-based programming language</v>
      </c>
      <c r="F173" s="96" t="s">
        <v>799</v>
      </c>
      <c r="G173" s="96" t="s">
        <v>788</v>
      </c>
      <c r="H173" s="96" t="s">
        <v>318</v>
      </c>
      <c r="I173" s="96" t="s">
        <v>96</v>
      </c>
    </row>
    <row r="174" spans="1:9" ht="13">
      <c r="A174" s="96">
        <v>3</v>
      </c>
      <c r="B174" s="96">
        <v>8</v>
      </c>
      <c r="C174" s="96" t="s">
        <v>786</v>
      </c>
      <c r="D174" s="96">
        <v>4</v>
      </c>
      <c r="E174" s="96" t="str">
        <f t="shared" si="0"/>
        <v>8::Mobile app development::4::- Use a block-based programming language to create a sequence</v>
      </c>
      <c r="F174" s="96" t="s">
        <v>800</v>
      </c>
      <c r="G174" s="96" t="s">
        <v>788</v>
      </c>
      <c r="H174" s="96" t="s">
        <v>318</v>
      </c>
      <c r="I174" s="96" t="s">
        <v>96</v>
      </c>
    </row>
    <row r="175" spans="1:9" ht="13">
      <c r="A175" s="96">
        <v>3</v>
      </c>
      <c r="B175" s="96">
        <v>8</v>
      </c>
      <c r="C175" s="96" t="s">
        <v>786</v>
      </c>
      <c r="D175" s="96">
        <v>4</v>
      </c>
      <c r="E175" s="96" t="str">
        <f t="shared" si="0"/>
        <v>8::Mobile app development::4::- Use variables in a block-based programming language</v>
      </c>
      <c r="F175" s="96" t="s">
        <v>801</v>
      </c>
      <c r="G175" s="96" t="s">
        <v>788</v>
      </c>
      <c r="H175" s="96" t="s">
        <v>318</v>
      </c>
      <c r="I175" s="96" t="s">
        <v>96</v>
      </c>
    </row>
    <row r="176" spans="1:9" ht="13">
      <c r="A176" s="96">
        <v>3</v>
      </c>
      <c r="B176" s="96">
        <v>8</v>
      </c>
      <c r="C176" s="96" t="s">
        <v>786</v>
      </c>
      <c r="D176" s="96">
        <v>5</v>
      </c>
      <c r="E176" s="96" t="str">
        <f t="shared" si="0"/>
        <v>8::Mobile app development::5::- Use a block-based programming language to include sequencing and selection</v>
      </c>
      <c r="F176" s="96" t="s">
        <v>802</v>
      </c>
      <c r="G176" s="96" t="s">
        <v>788</v>
      </c>
      <c r="H176" s="96" t="s">
        <v>318</v>
      </c>
      <c r="I176" s="96" t="s">
        <v>96</v>
      </c>
    </row>
    <row r="177" spans="1:9" ht="13">
      <c r="A177" s="96">
        <v>3</v>
      </c>
      <c r="B177" s="96">
        <v>8</v>
      </c>
      <c r="C177" s="96" t="s">
        <v>786</v>
      </c>
      <c r="D177" s="96">
        <v>5</v>
      </c>
      <c r="E177" s="96" t="str">
        <f t="shared" si="0"/>
        <v>8::Mobile app development::5::- Use user input in a block-based programming language</v>
      </c>
      <c r="F177" s="96" t="s">
        <v>799</v>
      </c>
      <c r="G177" s="96" t="s">
        <v>788</v>
      </c>
      <c r="H177" s="96" t="s">
        <v>318</v>
      </c>
      <c r="I177" s="96" t="s">
        <v>96</v>
      </c>
    </row>
    <row r="178" spans="1:9" ht="13">
      <c r="A178" s="96">
        <v>3</v>
      </c>
      <c r="B178" s="96">
        <v>8</v>
      </c>
      <c r="C178" s="96" t="s">
        <v>786</v>
      </c>
      <c r="D178" s="96">
        <v>5</v>
      </c>
      <c r="E178" s="96" t="str">
        <f t="shared" si="0"/>
        <v>8::Mobile app development::5::- Use variables in a block-based programming language</v>
      </c>
      <c r="F178" s="96" t="s">
        <v>801</v>
      </c>
      <c r="G178" s="96" t="s">
        <v>788</v>
      </c>
      <c r="H178" s="96" t="s">
        <v>318</v>
      </c>
      <c r="I178" s="96" t="s">
        <v>96</v>
      </c>
    </row>
    <row r="179" spans="1:9" ht="13">
      <c r="A179" s="96">
        <v>3</v>
      </c>
      <c r="B179" s="96">
        <v>8</v>
      </c>
      <c r="C179" s="96" t="s">
        <v>786</v>
      </c>
      <c r="D179" s="96">
        <v>5</v>
      </c>
      <c r="E179" s="96" t="str">
        <f t="shared" si="0"/>
        <v>8::Mobile app development::5::- Reflect and react to user feedback</v>
      </c>
      <c r="F179" s="96" t="s">
        <v>803</v>
      </c>
      <c r="G179" s="96" t="s">
        <v>788</v>
      </c>
      <c r="H179" s="96" t="s">
        <v>163</v>
      </c>
      <c r="I179" s="96" t="s">
        <v>96</v>
      </c>
    </row>
    <row r="180" spans="1:9" ht="13">
      <c r="A180" s="96">
        <v>3</v>
      </c>
      <c r="B180" s="96">
        <v>8</v>
      </c>
      <c r="C180" s="96" t="s">
        <v>786</v>
      </c>
      <c r="D180" s="96">
        <v>6</v>
      </c>
      <c r="E180" s="96" t="str">
        <f t="shared" si="0"/>
        <v>8::Mobile app development::6::- Use a block-based programming language to include sequencing and selection</v>
      </c>
      <c r="F180" s="96" t="s">
        <v>802</v>
      </c>
      <c r="G180" s="96" t="s">
        <v>788</v>
      </c>
      <c r="H180" s="96" t="s">
        <v>318</v>
      </c>
      <c r="I180" s="96" t="s">
        <v>96</v>
      </c>
    </row>
    <row r="181" spans="1:9" ht="13">
      <c r="A181" s="96">
        <v>3</v>
      </c>
      <c r="B181" s="96">
        <v>8</v>
      </c>
      <c r="C181" s="96" t="s">
        <v>786</v>
      </c>
      <c r="D181" s="96">
        <v>6</v>
      </c>
      <c r="E181" s="96" t="str">
        <f t="shared" si="0"/>
        <v>8::Mobile app development::6::- Use user input in a block-based programming language</v>
      </c>
      <c r="F181" s="96" t="s">
        <v>799</v>
      </c>
      <c r="G181" s="96" t="s">
        <v>788</v>
      </c>
      <c r="H181" s="96" t="s">
        <v>318</v>
      </c>
      <c r="I181" s="96" t="s">
        <v>96</v>
      </c>
    </row>
    <row r="182" spans="1:9" ht="13">
      <c r="A182" s="96">
        <v>3</v>
      </c>
      <c r="B182" s="96">
        <v>8</v>
      </c>
      <c r="C182" s="96" t="s">
        <v>786</v>
      </c>
      <c r="D182" s="96">
        <v>6</v>
      </c>
      <c r="E182" s="96" t="str">
        <f t="shared" si="0"/>
        <v>8::Mobile app development::6::- Use variables in a block-based programming language</v>
      </c>
      <c r="F182" s="96" t="s">
        <v>801</v>
      </c>
      <c r="G182" s="96" t="s">
        <v>788</v>
      </c>
      <c r="H182" s="96" t="s">
        <v>318</v>
      </c>
      <c r="I182" s="96" t="s">
        <v>96</v>
      </c>
    </row>
    <row r="183" spans="1:9" ht="13">
      <c r="A183" s="96">
        <v>3</v>
      </c>
      <c r="B183" s="96">
        <v>8</v>
      </c>
      <c r="C183" s="96" t="s">
        <v>786</v>
      </c>
      <c r="D183" s="96">
        <v>6</v>
      </c>
      <c r="E183" s="96" t="str">
        <f t="shared" si="0"/>
        <v>8::Mobile app development::6::- Evaluate the success of the programming project</v>
      </c>
      <c r="F183" s="96" t="s">
        <v>804</v>
      </c>
      <c r="G183" s="96" t="s">
        <v>788</v>
      </c>
      <c r="H183" s="96" t="s">
        <v>163</v>
      </c>
      <c r="I183" s="96" t="s">
        <v>96</v>
      </c>
    </row>
    <row r="184" spans="1:9" ht="13">
      <c r="A184" s="96">
        <v>3</v>
      </c>
      <c r="B184" s="96">
        <v>8</v>
      </c>
      <c r="C184" s="96" t="s">
        <v>805</v>
      </c>
      <c r="D184" s="96">
        <v>1</v>
      </c>
      <c r="E184" s="96" t="str">
        <f t="shared" si="0"/>
        <v>8::Representations – from clay to silicon::1::- List examples of representations</v>
      </c>
      <c r="F184" s="96" t="s">
        <v>806</v>
      </c>
      <c r="G184" s="96">
        <v>3.6</v>
      </c>
      <c r="H184" s="96" t="s">
        <v>12</v>
      </c>
      <c r="I184" s="96" t="s">
        <v>96</v>
      </c>
    </row>
    <row r="185" spans="1:9" ht="13">
      <c r="A185" s="96">
        <v>3</v>
      </c>
      <c r="B185" s="96">
        <v>8</v>
      </c>
      <c r="C185" s="96" t="s">
        <v>805</v>
      </c>
      <c r="D185" s="96">
        <v>1</v>
      </c>
      <c r="E185" s="96" t="str">
        <f t="shared" si="0"/>
        <v>8::Representations – from clay to silicon::1::- Recall that representations are used to store, communicate, and process information</v>
      </c>
      <c r="F185" s="96" t="s">
        <v>807</v>
      </c>
      <c r="G185" s="96">
        <v>3.6</v>
      </c>
      <c r="H185" s="96" t="s">
        <v>12</v>
      </c>
      <c r="I185" s="96" t="s">
        <v>96</v>
      </c>
    </row>
    <row r="186" spans="1:9" ht="13">
      <c r="A186" s="96">
        <v>3</v>
      </c>
      <c r="B186" s="96">
        <v>8</v>
      </c>
      <c r="C186" s="96" t="s">
        <v>805</v>
      </c>
      <c r="D186" s="96">
        <v>1</v>
      </c>
      <c r="E186" s="96" t="str">
        <f t="shared" si="0"/>
        <v>8::Representations – from clay to silicon::1::- Provide examples of how different representations are appropriate for different tasks</v>
      </c>
      <c r="F186" s="96" t="s">
        <v>808</v>
      </c>
      <c r="G186" s="96">
        <v>3.6</v>
      </c>
      <c r="H186" s="96" t="s">
        <v>12</v>
      </c>
      <c r="I186" s="96" t="s">
        <v>96</v>
      </c>
    </row>
    <row r="187" spans="1:9" ht="13">
      <c r="A187" s="96">
        <v>3</v>
      </c>
      <c r="B187" s="96">
        <v>8</v>
      </c>
      <c r="C187" s="96" t="s">
        <v>805</v>
      </c>
      <c r="D187" s="96">
        <v>2</v>
      </c>
      <c r="E187" s="96" t="str">
        <f t="shared" si="0"/>
        <v>8::Representations – from clay to silicon::2::- Recall that characters can be represented as sequences of symbols and list examples of character coding schemes</v>
      </c>
      <c r="F187" s="96" t="s">
        <v>809</v>
      </c>
      <c r="G187" s="96">
        <v>3.6</v>
      </c>
      <c r="H187" s="96" t="s">
        <v>12</v>
      </c>
      <c r="I187" s="96" t="s">
        <v>96</v>
      </c>
    </row>
    <row r="188" spans="1:9" ht="13">
      <c r="A188" s="96">
        <v>3</v>
      </c>
      <c r="B188" s="96">
        <v>8</v>
      </c>
      <c r="C188" s="96" t="s">
        <v>805</v>
      </c>
      <c r="D188" s="96">
        <v>2</v>
      </c>
      <c r="E188" s="96" t="str">
        <f t="shared" si="0"/>
        <v>8::Representations – from clay to silicon::2::- Measure the length of a representation as the number of symbols that it contains</v>
      </c>
      <c r="F188" s="96" t="s">
        <v>810</v>
      </c>
      <c r="G188" s="96">
        <v>3.6</v>
      </c>
      <c r="H188" s="96" t="s">
        <v>12</v>
      </c>
      <c r="I188" s="96" t="s">
        <v>96</v>
      </c>
    </row>
    <row r="189" spans="1:9" ht="13">
      <c r="A189" s="96">
        <v>3</v>
      </c>
      <c r="B189" s="96">
        <v>8</v>
      </c>
      <c r="C189" s="96" t="s">
        <v>805</v>
      </c>
      <c r="D189" s="96">
        <v>2</v>
      </c>
      <c r="E189" s="96" t="str">
        <f t="shared" si="0"/>
        <v>8::Representations – from clay to silicon::2::- Provide examples of how symbols are carried on physical media</v>
      </c>
      <c r="F189" s="96" t="s">
        <v>811</v>
      </c>
      <c r="G189" s="96">
        <v>3.6</v>
      </c>
      <c r="H189" s="96" t="s">
        <v>365</v>
      </c>
      <c r="I189" s="96" t="s">
        <v>96</v>
      </c>
    </row>
    <row r="190" spans="1:9" ht="13">
      <c r="A190" s="96">
        <v>3</v>
      </c>
      <c r="B190" s="96">
        <v>8</v>
      </c>
      <c r="C190" s="96" t="s">
        <v>805</v>
      </c>
      <c r="D190" s="96">
        <v>3</v>
      </c>
      <c r="E190" s="96" t="str">
        <f t="shared" si="0"/>
        <v>8::Representations – from clay to silicon::3::- Explain what binary digits (bits) are, in terms of familiar symbols such as digits or letters</v>
      </c>
      <c r="F190" s="96" t="s">
        <v>812</v>
      </c>
      <c r="G190" s="96">
        <v>3.6</v>
      </c>
      <c r="H190" s="96" t="s">
        <v>12</v>
      </c>
      <c r="I190" s="96" t="s">
        <v>96</v>
      </c>
    </row>
    <row r="191" spans="1:9" ht="13">
      <c r="A191" s="96">
        <v>3</v>
      </c>
      <c r="B191" s="96">
        <v>8</v>
      </c>
      <c r="C191" s="96" t="s">
        <v>805</v>
      </c>
      <c r="D191" s="96">
        <v>3</v>
      </c>
      <c r="E191" s="96" t="str">
        <f t="shared" si="0"/>
        <v>8::Representations – from clay to silicon::3::- Measure the size or length of a sequence of bits as the number of binary digits that it contains</v>
      </c>
      <c r="F191" s="96" t="s">
        <v>813</v>
      </c>
      <c r="G191" s="96">
        <v>3.6</v>
      </c>
      <c r="H191" s="96" t="s">
        <v>12</v>
      </c>
      <c r="I191" s="96" t="s">
        <v>96</v>
      </c>
    </row>
    <row r="192" spans="1:9" ht="13">
      <c r="A192" s="96">
        <v>3</v>
      </c>
      <c r="B192" s="96">
        <v>8</v>
      </c>
      <c r="C192" s="96" t="s">
        <v>805</v>
      </c>
      <c r="D192" s="96">
        <v>4</v>
      </c>
      <c r="E192" s="96" t="str">
        <f t="shared" si="0"/>
        <v>8::Representations – from clay to silicon::4::- Describe how natural numbers are represented as sequences of binary digits</v>
      </c>
      <c r="F192" s="96" t="s">
        <v>814</v>
      </c>
      <c r="G192" s="96">
        <v>3.6</v>
      </c>
      <c r="H192" s="96" t="s">
        <v>12</v>
      </c>
      <c r="I192" s="96" t="s">
        <v>96</v>
      </c>
    </row>
    <row r="193" spans="1:9" ht="13">
      <c r="A193" s="96">
        <v>3</v>
      </c>
      <c r="B193" s="96">
        <v>8</v>
      </c>
      <c r="C193" s="96" t="s">
        <v>805</v>
      </c>
      <c r="D193" s="96">
        <v>4</v>
      </c>
      <c r="E193" s="96" t="str">
        <f t="shared" si="0"/>
        <v>8::Representations – from clay to silicon::4::- Convert a decimal number to binary and vice versa</v>
      </c>
      <c r="F193" s="96" t="s">
        <v>815</v>
      </c>
      <c r="G193" s="96">
        <v>3.6</v>
      </c>
      <c r="H193" s="96" t="s">
        <v>12</v>
      </c>
      <c r="I193" s="96" t="s">
        <v>96</v>
      </c>
    </row>
    <row r="194" spans="1:9" ht="13">
      <c r="A194" s="96">
        <v>3</v>
      </c>
      <c r="B194" s="96">
        <v>8</v>
      </c>
      <c r="C194" s="96" t="s">
        <v>805</v>
      </c>
      <c r="D194" s="96">
        <v>5</v>
      </c>
      <c r="E194" s="96" t="str">
        <f t="shared" si="0"/>
        <v>8::Representations – from clay to silicon::5::- Convert between different units and multiples of representation size</v>
      </c>
      <c r="F194" s="96" t="s">
        <v>816</v>
      </c>
      <c r="G194" s="96">
        <v>3.6</v>
      </c>
      <c r="H194" s="96" t="s">
        <v>12</v>
      </c>
      <c r="I194" s="96" t="s">
        <v>96</v>
      </c>
    </row>
    <row r="195" spans="1:9" ht="13">
      <c r="A195" s="96">
        <v>3</v>
      </c>
      <c r="B195" s="96">
        <v>8</v>
      </c>
      <c r="C195" s="96" t="s">
        <v>805</v>
      </c>
      <c r="D195" s="96">
        <v>5</v>
      </c>
      <c r="E195" s="96" t="str">
        <f t="shared" si="0"/>
        <v>8::Representations – from clay to silicon::5::- Provide examples of the different ways that binary digits are physically represented in digital devices</v>
      </c>
      <c r="F195" s="96" t="s">
        <v>817</v>
      </c>
      <c r="G195" s="96">
        <v>3.6</v>
      </c>
      <c r="H195" s="96" t="s">
        <v>365</v>
      </c>
      <c r="I195" s="96" t="s">
        <v>96</v>
      </c>
    </row>
    <row r="196" spans="1:9" ht="13">
      <c r="A196" s="96">
        <v>3</v>
      </c>
      <c r="B196" s="96">
        <v>8</v>
      </c>
      <c r="C196" s="96" t="s">
        <v>805</v>
      </c>
      <c r="D196" s="96">
        <v>6</v>
      </c>
      <c r="E196" s="96" t="str">
        <f t="shared" si="0"/>
        <v>8::Representations – from clay to silicon::6::- Apply all of the skills covered in this unit</v>
      </c>
      <c r="F196" s="96" t="s">
        <v>818</v>
      </c>
      <c r="G196" s="96">
        <v>3.6</v>
      </c>
      <c r="H196" s="96" t="s">
        <v>365</v>
      </c>
      <c r="I196" s="96" t="s">
        <v>96</v>
      </c>
    </row>
    <row r="197" spans="1:9" ht="13">
      <c r="A197" s="96">
        <v>3</v>
      </c>
      <c r="B197" s="96">
        <v>9</v>
      </c>
      <c r="C197" s="96" t="s">
        <v>68</v>
      </c>
      <c r="D197" s="96">
        <v>1</v>
      </c>
      <c r="E197" s="96" t="str">
        <f t="shared" si="0"/>
        <v>9::Cybersecurity::1::- Explain the difference between data and information</v>
      </c>
      <c r="F197" s="96" t="s">
        <v>626</v>
      </c>
      <c r="G197" s="96">
        <v>3.9</v>
      </c>
      <c r="H197" s="96" t="s">
        <v>12</v>
      </c>
      <c r="I197" s="96" t="s">
        <v>819</v>
      </c>
    </row>
    <row r="198" spans="1:9" ht="13">
      <c r="A198" s="96">
        <v>3</v>
      </c>
      <c r="B198" s="96">
        <v>9</v>
      </c>
      <c r="C198" s="96" t="s">
        <v>68</v>
      </c>
      <c r="D198" s="96">
        <v>1</v>
      </c>
      <c r="E198" s="96" t="str">
        <f t="shared" si="0"/>
        <v>9::Cybersecurity::1::- Critique online services in relation to data privacy</v>
      </c>
      <c r="F198" s="96" t="s">
        <v>820</v>
      </c>
      <c r="G198" s="96">
        <v>3.9</v>
      </c>
      <c r="H198" s="96" t="s">
        <v>821</v>
      </c>
      <c r="I198" s="96" t="s">
        <v>819</v>
      </c>
    </row>
    <row r="199" spans="1:9" ht="13">
      <c r="A199" s="96">
        <v>3</v>
      </c>
      <c r="B199" s="96">
        <v>9</v>
      </c>
      <c r="C199" s="96" t="s">
        <v>68</v>
      </c>
      <c r="D199" s="96">
        <v>1</v>
      </c>
      <c r="E199" s="96" t="str">
        <f t="shared" si="0"/>
        <v>9::Cybersecurity::1::- Identify what happens to data entered online</v>
      </c>
      <c r="F199" s="96" t="s">
        <v>822</v>
      </c>
      <c r="G199" s="96">
        <v>3.9</v>
      </c>
      <c r="H199" s="96" t="s">
        <v>823</v>
      </c>
      <c r="I199" s="96" t="s">
        <v>819</v>
      </c>
    </row>
    <row r="200" spans="1:9" ht="13">
      <c r="A200" s="96">
        <v>3</v>
      </c>
      <c r="B200" s="96">
        <v>9</v>
      </c>
      <c r="C200" s="96" t="s">
        <v>68</v>
      </c>
      <c r="D200" s="96">
        <v>1</v>
      </c>
      <c r="E200" s="96" t="str">
        <f t="shared" si="0"/>
        <v>9::Cybersecurity::1::- Explain the need for the Data Protection Act</v>
      </c>
      <c r="F200" s="96" t="s">
        <v>824</v>
      </c>
      <c r="G200" s="96">
        <v>3.9</v>
      </c>
      <c r="H200" s="96" t="s">
        <v>825</v>
      </c>
      <c r="I200" s="96" t="s">
        <v>819</v>
      </c>
    </row>
    <row r="201" spans="1:9" ht="13">
      <c r="A201" s="96">
        <v>3</v>
      </c>
      <c r="B201" s="96">
        <v>9</v>
      </c>
      <c r="C201" s="96" t="s">
        <v>68</v>
      </c>
      <c r="D201" s="96">
        <v>2</v>
      </c>
      <c r="E201" s="96" t="str">
        <f t="shared" si="0"/>
        <v>9::Cybersecurity::2::- Recognise how human errors pose security risks to data</v>
      </c>
      <c r="F201" s="96" t="s">
        <v>826</v>
      </c>
      <c r="G201" s="96">
        <v>3.9</v>
      </c>
      <c r="H201" s="96" t="s">
        <v>827</v>
      </c>
      <c r="I201" s="96" t="s">
        <v>819</v>
      </c>
    </row>
    <row r="202" spans="1:9" ht="13">
      <c r="A202" s="96">
        <v>3</v>
      </c>
      <c r="B202" s="96">
        <v>9</v>
      </c>
      <c r="C202" s="96" t="s">
        <v>68</v>
      </c>
      <c r="D202" s="96">
        <v>2</v>
      </c>
      <c r="E202" s="96" t="str">
        <f t="shared" si="0"/>
        <v>9::Cybersecurity::2::- Implement strategies to minimise the risk of data being compromised through human error</v>
      </c>
      <c r="F202" s="96" t="s">
        <v>828</v>
      </c>
      <c r="G202" s="96">
        <v>3.9</v>
      </c>
      <c r="H202" s="96" t="s">
        <v>827</v>
      </c>
      <c r="I202" s="96" t="s">
        <v>819</v>
      </c>
    </row>
    <row r="203" spans="1:9" ht="13">
      <c r="A203" s="96">
        <v>3</v>
      </c>
      <c r="B203" s="96">
        <v>9</v>
      </c>
      <c r="C203" s="96" t="s">
        <v>68</v>
      </c>
      <c r="D203" s="96">
        <v>3</v>
      </c>
      <c r="E203" s="96" t="str">
        <f t="shared" si="0"/>
        <v>9::Cybersecurity::3::- Define hacking in the context of cyber security</v>
      </c>
      <c r="F203" s="96" t="s">
        <v>829</v>
      </c>
      <c r="G203" s="96">
        <v>3.9</v>
      </c>
      <c r="H203" s="96" t="s">
        <v>830</v>
      </c>
      <c r="I203" s="96" t="s">
        <v>819</v>
      </c>
    </row>
    <row r="204" spans="1:9" ht="13">
      <c r="A204" s="96">
        <v>3</v>
      </c>
      <c r="B204" s="96">
        <v>9</v>
      </c>
      <c r="C204" s="96" t="s">
        <v>68</v>
      </c>
      <c r="D204" s="96">
        <v>3</v>
      </c>
      <c r="E204" s="96" t="str">
        <f t="shared" si="0"/>
        <v>9::Cybersecurity::3::- Explain how a DDoS attack can impact users of online services</v>
      </c>
      <c r="F204" s="96" t="s">
        <v>831</v>
      </c>
      <c r="G204" s="96">
        <v>3.9</v>
      </c>
      <c r="H204" s="96" t="s">
        <v>360</v>
      </c>
      <c r="I204" s="96" t="s">
        <v>819</v>
      </c>
    </row>
    <row r="205" spans="1:9" ht="13">
      <c r="A205" s="96">
        <v>3</v>
      </c>
      <c r="B205" s="96">
        <v>9</v>
      </c>
      <c r="C205" s="96" t="s">
        <v>68</v>
      </c>
      <c r="D205" s="96">
        <v>3</v>
      </c>
      <c r="E205" s="96" t="str">
        <f t="shared" si="0"/>
        <v>9::Cybersecurity::3::- Identify strategies to reduce the chance of a brute force attack being successful</v>
      </c>
      <c r="F205" s="96" t="s">
        <v>832</v>
      </c>
      <c r="G205" s="96">
        <v>3.9</v>
      </c>
      <c r="H205" s="96" t="s">
        <v>833</v>
      </c>
      <c r="I205" s="96" t="s">
        <v>819</v>
      </c>
    </row>
    <row r="206" spans="1:9" ht="13">
      <c r="A206" s="96">
        <v>3</v>
      </c>
      <c r="B206" s="96">
        <v>9</v>
      </c>
      <c r="C206" s="96" t="s">
        <v>68</v>
      </c>
      <c r="D206" s="96">
        <v>3</v>
      </c>
      <c r="E206" s="96" t="str">
        <f t="shared" si="0"/>
        <v>9::Cybersecurity::3::- Explain the need for the Computer Misuse Act</v>
      </c>
      <c r="F206" s="96" t="s">
        <v>834</v>
      </c>
      <c r="G206" s="96">
        <v>3.9</v>
      </c>
      <c r="H206" s="96" t="s">
        <v>617</v>
      </c>
      <c r="I206" s="96" t="s">
        <v>819</v>
      </c>
    </row>
    <row r="207" spans="1:9" ht="13">
      <c r="A207" s="96">
        <v>3</v>
      </c>
      <c r="B207" s="96">
        <v>9</v>
      </c>
      <c r="C207" s="96" t="s">
        <v>68</v>
      </c>
      <c r="D207" s="96">
        <v>4</v>
      </c>
      <c r="E207" s="96" t="str">
        <f t="shared" si="0"/>
        <v>9::Cybersecurity::4::- List the common malware threats</v>
      </c>
      <c r="F207" s="96" t="s">
        <v>835</v>
      </c>
      <c r="G207" s="96">
        <v>3.9</v>
      </c>
      <c r="H207" s="96" t="s">
        <v>836</v>
      </c>
      <c r="I207" s="96" t="s">
        <v>819</v>
      </c>
    </row>
    <row r="208" spans="1:9" ht="13">
      <c r="A208" s="96">
        <v>3</v>
      </c>
      <c r="B208" s="96">
        <v>9</v>
      </c>
      <c r="C208" s="96" t="s">
        <v>68</v>
      </c>
      <c r="D208" s="96">
        <v>4</v>
      </c>
      <c r="E208" s="96" t="str">
        <f t="shared" si="0"/>
        <v>9::Cybersecurity::4::- Examine how different types of malware causes problems for computer systems</v>
      </c>
      <c r="F208" s="96" t="s">
        <v>837</v>
      </c>
      <c r="G208" s="96">
        <v>3.9</v>
      </c>
      <c r="H208" s="96" t="s">
        <v>836</v>
      </c>
      <c r="I208" s="96" t="s">
        <v>819</v>
      </c>
    </row>
    <row r="209" spans="1:9" ht="13">
      <c r="A209" s="96">
        <v>3</v>
      </c>
      <c r="B209" s="96">
        <v>9</v>
      </c>
      <c r="C209" s="96" t="s">
        <v>68</v>
      </c>
      <c r="D209" s="96">
        <v>4</v>
      </c>
      <c r="E209" s="96" t="str">
        <f t="shared" si="0"/>
        <v>9::Cybersecurity::4::- Question how malicious bots can have an impact on societal issues</v>
      </c>
      <c r="F209" s="96" t="s">
        <v>838</v>
      </c>
      <c r="G209" s="96">
        <v>3.9</v>
      </c>
      <c r="H209" s="96" t="s">
        <v>21</v>
      </c>
      <c r="I209" s="96" t="s">
        <v>819</v>
      </c>
    </row>
    <row r="210" spans="1:9" ht="13">
      <c r="A210" s="96">
        <v>3</v>
      </c>
      <c r="B210" s="96">
        <v>9</v>
      </c>
      <c r="C210" s="96" t="s">
        <v>68</v>
      </c>
      <c r="D210" s="96">
        <v>5</v>
      </c>
      <c r="E210" s="96" t="str">
        <f t="shared" si="0"/>
        <v>9::Cybersecurity::5::- Compare security threats against probability and the potential impact to organisations</v>
      </c>
      <c r="F210" s="96" t="s">
        <v>839</v>
      </c>
      <c r="G210" s="96">
        <v>3.9</v>
      </c>
      <c r="H210" s="96" t="s">
        <v>617</v>
      </c>
      <c r="I210" s="96" t="s">
        <v>819</v>
      </c>
    </row>
    <row r="211" spans="1:9" ht="13">
      <c r="A211" s="96">
        <v>3</v>
      </c>
      <c r="B211" s="96">
        <v>9</v>
      </c>
      <c r="C211" s="96" t="s">
        <v>68</v>
      </c>
      <c r="D211" s="96">
        <v>5</v>
      </c>
      <c r="E211" s="96" t="str">
        <f t="shared" si="0"/>
        <v>9::Cybersecurity::5::- Explain how networks can be protected from common security threats</v>
      </c>
      <c r="F211" s="96" t="s">
        <v>840</v>
      </c>
      <c r="G211" s="96">
        <v>3.9</v>
      </c>
      <c r="H211" s="96" t="s">
        <v>347</v>
      </c>
      <c r="I211" s="96" t="s">
        <v>819</v>
      </c>
    </row>
    <row r="212" spans="1:9" ht="13">
      <c r="A212" s="96">
        <v>3</v>
      </c>
      <c r="B212" s="96">
        <v>9</v>
      </c>
      <c r="C212" s="96" t="s">
        <v>68</v>
      </c>
      <c r="D212" s="96">
        <v>6</v>
      </c>
      <c r="E212" s="96" t="str">
        <f t="shared" si="0"/>
        <v>9::Cybersecurity::6::- Identify the most effective methods to prevent cyberattacks</v>
      </c>
      <c r="F212" s="96" t="s">
        <v>841</v>
      </c>
      <c r="G212" s="96">
        <v>3.9</v>
      </c>
      <c r="H212" s="96" t="s">
        <v>609</v>
      </c>
      <c r="I212" s="96" t="s">
        <v>819</v>
      </c>
    </row>
    <row r="213" spans="1:9" ht="13">
      <c r="A213" s="96">
        <v>3</v>
      </c>
      <c r="B213" s="96">
        <v>9</v>
      </c>
      <c r="C213" s="96" t="s">
        <v>842</v>
      </c>
      <c r="D213" s="96">
        <v>1</v>
      </c>
      <c r="E213" s="96" t="str">
        <f t="shared" si="0"/>
        <v>9::Data science::1::- Define data science</v>
      </c>
      <c r="F213" s="96" t="s">
        <v>843</v>
      </c>
      <c r="G213" s="96">
        <v>3.7</v>
      </c>
      <c r="H213" s="96" t="s">
        <v>12</v>
      </c>
      <c r="I213" s="96" t="s">
        <v>96</v>
      </c>
    </row>
    <row r="214" spans="1:9" ht="13">
      <c r="A214" s="96">
        <v>3</v>
      </c>
      <c r="B214" s="96">
        <v>9</v>
      </c>
      <c r="C214" s="96" t="s">
        <v>842</v>
      </c>
      <c r="D214" s="96">
        <v>1</v>
      </c>
      <c r="E214" s="96" t="str">
        <f t="shared" si="0"/>
        <v>9::Data science::1::- Explain how visualising data can help identify patterns and trends in order to help us gain insights</v>
      </c>
      <c r="F214" s="96" t="s">
        <v>844</v>
      </c>
      <c r="G214" s="96">
        <v>3.7</v>
      </c>
      <c r="H214" s="96" t="s">
        <v>12</v>
      </c>
      <c r="I214" s="96" t="s">
        <v>96</v>
      </c>
    </row>
    <row r="215" spans="1:9" ht="13">
      <c r="A215" s="96">
        <v>3</v>
      </c>
      <c r="B215" s="96">
        <v>9</v>
      </c>
      <c r="C215" s="96" t="s">
        <v>842</v>
      </c>
      <c r="D215" s="96">
        <v>1</v>
      </c>
      <c r="E215" s="96" t="str">
        <f t="shared" si="0"/>
        <v>9::Data science::1::- Use an appropriate software tool to visualise data sets and look for patterns or trends</v>
      </c>
      <c r="F215" s="96" t="s">
        <v>845</v>
      </c>
      <c r="G215" s="96">
        <v>3.7</v>
      </c>
      <c r="H215" s="96" t="s">
        <v>217</v>
      </c>
      <c r="I215" s="96" t="s">
        <v>96</v>
      </c>
    </row>
    <row r="216" spans="1:9" ht="13">
      <c r="A216" s="96">
        <v>3</v>
      </c>
      <c r="B216" s="96">
        <v>9</v>
      </c>
      <c r="C216" s="96" t="s">
        <v>842</v>
      </c>
      <c r="D216" s="96">
        <v>2</v>
      </c>
      <c r="E216" s="96" t="str">
        <f t="shared" si="0"/>
        <v>9::Data science::2::- Recognise examples of where large data sets are used in daily life</v>
      </c>
      <c r="F216" s="96" t="s">
        <v>846</v>
      </c>
      <c r="G216" s="96">
        <v>3.7</v>
      </c>
      <c r="H216" s="96" t="s">
        <v>847</v>
      </c>
      <c r="I216" s="96" t="s">
        <v>96</v>
      </c>
    </row>
    <row r="217" spans="1:9" ht="13">
      <c r="A217" s="96">
        <v>3</v>
      </c>
      <c r="B217" s="96">
        <v>9</v>
      </c>
      <c r="C217" s="96" t="s">
        <v>842</v>
      </c>
      <c r="D217" s="96">
        <v>2</v>
      </c>
      <c r="E217" s="96" t="str">
        <f t="shared" si="0"/>
        <v>9::Data science::2::- Select criteria and use data set to investigate predictions</v>
      </c>
      <c r="F217" s="96" t="s">
        <v>848</v>
      </c>
      <c r="G217" s="96">
        <v>3.7</v>
      </c>
      <c r="H217" s="96" t="s">
        <v>313</v>
      </c>
      <c r="I217" s="96" t="s">
        <v>96</v>
      </c>
    </row>
    <row r="218" spans="1:9" ht="13">
      <c r="A218" s="96">
        <v>3</v>
      </c>
      <c r="B218" s="96">
        <v>9</v>
      </c>
      <c r="C218" s="96" t="s">
        <v>842</v>
      </c>
      <c r="D218" s="96">
        <v>2</v>
      </c>
      <c r="E218" s="96" t="str">
        <f t="shared" si="0"/>
        <v>9::Data science::2::- Evaluate findings to support arguments for or against a prediction</v>
      </c>
      <c r="F218" s="96" t="s">
        <v>849</v>
      </c>
      <c r="G218" s="96">
        <v>3.7</v>
      </c>
      <c r="H218" s="96" t="s">
        <v>313</v>
      </c>
      <c r="I218" s="96" t="s">
        <v>96</v>
      </c>
    </row>
    <row r="219" spans="1:9" ht="13">
      <c r="A219" s="96">
        <v>3</v>
      </c>
      <c r="B219" s="96">
        <v>9</v>
      </c>
      <c r="C219" s="96" t="s">
        <v>842</v>
      </c>
      <c r="D219" s="96">
        <v>3</v>
      </c>
      <c r="E219" s="96" t="str">
        <f t="shared" si="0"/>
        <v>9::Data science::3::- Define the terms ‘correlation’ and ‘outliers’ in relation to data trends</v>
      </c>
      <c r="F219" s="96" t="s">
        <v>850</v>
      </c>
      <c r="G219" s="96">
        <v>3.7</v>
      </c>
      <c r="H219" s="96" t="s">
        <v>12</v>
      </c>
      <c r="I219" s="96" t="s">
        <v>96</v>
      </c>
    </row>
    <row r="220" spans="1:9" ht="13">
      <c r="A220" s="96">
        <v>3</v>
      </c>
      <c r="B220" s="96">
        <v>9</v>
      </c>
      <c r="C220" s="96" t="s">
        <v>842</v>
      </c>
      <c r="D220" s="96">
        <v>3</v>
      </c>
      <c r="E220" s="96" t="str">
        <f t="shared" si="0"/>
        <v>9::Data science::3::- Identify the steps of the investigative cycle</v>
      </c>
      <c r="F220" s="96" t="s">
        <v>851</v>
      </c>
      <c r="G220" s="96">
        <v>3.7</v>
      </c>
      <c r="H220" s="96" t="s">
        <v>313</v>
      </c>
      <c r="I220" s="96" t="s">
        <v>96</v>
      </c>
    </row>
    <row r="221" spans="1:9" ht="13">
      <c r="A221" s="96">
        <v>3</v>
      </c>
      <c r="B221" s="96">
        <v>9</v>
      </c>
      <c r="C221" s="96" t="s">
        <v>842</v>
      </c>
      <c r="D221" s="96">
        <v>3</v>
      </c>
      <c r="E221" s="96" t="str">
        <f t="shared" si="0"/>
        <v>9::Data science::3::- Solve a problem by implementing steps of the investigative cycle on a data set</v>
      </c>
      <c r="F221" s="96" t="s">
        <v>852</v>
      </c>
      <c r="G221" s="96">
        <v>3.7</v>
      </c>
      <c r="H221" s="96" t="s">
        <v>313</v>
      </c>
      <c r="I221" s="96" t="s">
        <v>96</v>
      </c>
    </row>
    <row r="222" spans="1:9" ht="13">
      <c r="A222" s="96">
        <v>3</v>
      </c>
      <c r="B222" s="96">
        <v>9</v>
      </c>
      <c r="C222" s="96" t="s">
        <v>842</v>
      </c>
      <c r="D222" s="96">
        <v>3</v>
      </c>
      <c r="E222" s="96" t="str">
        <f t="shared" si="0"/>
        <v>9::Data science::3::- Use findings to support a recommendation</v>
      </c>
      <c r="F222" s="96" t="s">
        <v>853</v>
      </c>
      <c r="G222" s="96">
        <v>3.7</v>
      </c>
      <c r="H222" s="96" t="s">
        <v>847</v>
      </c>
      <c r="I222" s="96" t="s">
        <v>96</v>
      </c>
    </row>
    <row r="223" spans="1:9" ht="13">
      <c r="A223" s="96">
        <v>3</v>
      </c>
      <c r="B223" s="96">
        <v>9</v>
      </c>
      <c r="C223" s="96" t="s">
        <v>842</v>
      </c>
      <c r="D223" s="96">
        <v>4</v>
      </c>
      <c r="E223" s="96" t="str">
        <f t="shared" si="0"/>
        <v>9::Data science::4::- Identify the steps of the investigative cycle</v>
      </c>
      <c r="F223" s="96" t="s">
        <v>851</v>
      </c>
      <c r="G223" s="96">
        <v>3.7</v>
      </c>
      <c r="H223" s="96" t="s">
        <v>31</v>
      </c>
      <c r="I223" s="96" t="s">
        <v>96</v>
      </c>
    </row>
    <row r="224" spans="1:9" ht="13">
      <c r="A224" s="96">
        <v>3</v>
      </c>
      <c r="B224" s="96">
        <v>9</v>
      </c>
      <c r="C224" s="96" t="s">
        <v>842</v>
      </c>
      <c r="D224" s="96">
        <v>4</v>
      </c>
      <c r="E224" s="96" t="str">
        <f t="shared" si="0"/>
        <v>9::Data science::4::- Identify the data needed to answer a question defined by the learner</v>
      </c>
      <c r="F224" s="96" t="s">
        <v>854</v>
      </c>
      <c r="G224" s="96">
        <v>3.7</v>
      </c>
      <c r="H224" s="96" t="s">
        <v>313</v>
      </c>
      <c r="I224" s="96" t="s">
        <v>96</v>
      </c>
    </row>
    <row r="225" spans="1:9" ht="13">
      <c r="A225" s="96">
        <v>3</v>
      </c>
      <c r="B225" s="96">
        <v>9</v>
      </c>
      <c r="C225" s="96" t="s">
        <v>842</v>
      </c>
      <c r="D225" s="96">
        <v>4</v>
      </c>
      <c r="E225" s="96" t="str">
        <f t="shared" si="0"/>
        <v>9::Data science::4::- Create a data capture form</v>
      </c>
      <c r="F225" s="96" t="s">
        <v>855</v>
      </c>
      <c r="G225" s="96">
        <v>3.7</v>
      </c>
      <c r="H225" s="96" t="s">
        <v>206</v>
      </c>
      <c r="I225" s="96" t="s">
        <v>96</v>
      </c>
    </row>
    <row r="226" spans="1:9" ht="13">
      <c r="A226" s="96">
        <v>3</v>
      </c>
      <c r="B226" s="96">
        <v>9</v>
      </c>
      <c r="C226" s="96" t="s">
        <v>842</v>
      </c>
      <c r="D226" s="96">
        <v>5</v>
      </c>
      <c r="E226" s="96" t="str">
        <f t="shared" si="0"/>
        <v>9::Data science::5::- Describe the need for data cleansing</v>
      </c>
      <c r="F226" s="96" t="s">
        <v>856</v>
      </c>
      <c r="G226" s="96">
        <v>3.7</v>
      </c>
      <c r="H226" s="96" t="s">
        <v>217</v>
      </c>
      <c r="I226" s="96" t="s">
        <v>96</v>
      </c>
    </row>
    <row r="227" spans="1:9" ht="13">
      <c r="A227" s="96">
        <v>3</v>
      </c>
      <c r="B227" s="96">
        <v>9</v>
      </c>
      <c r="C227" s="96" t="s">
        <v>842</v>
      </c>
      <c r="D227" s="96">
        <v>5</v>
      </c>
      <c r="E227" s="96" t="str">
        <f t="shared" si="0"/>
        <v>9::Data science::5::- Apply data cleansing techniques to a data set</v>
      </c>
      <c r="F227" s="96" t="s">
        <v>857</v>
      </c>
      <c r="G227" s="96">
        <v>3.7</v>
      </c>
      <c r="H227" s="96" t="s">
        <v>12</v>
      </c>
      <c r="I227" s="96" t="s">
        <v>96</v>
      </c>
    </row>
    <row r="228" spans="1:9" ht="13">
      <c r="A228" s="96">
        <v>3</v>
      </c>
      <c r="B228" s="96">
        <v>9</v>
      </c>
      <c r="C228" s="96" t="s">
        <v>842</v>
      </c>
      <c r="D228" s="96">
        <v>5</v>
      </c>
      <c r="E228" s="96" t="str">
        <f t="shared" si="0"/>
        <v>9::Data science::5::- Visualise a data set</v>
      </c>
      <c r="F228" s="96" t="s">
        <v>858</v>
      </c>
      <c r="G228" s="96">
        <v>3.7</v>
      </c>
      <c r="H228" s="96" t="s">
        <v>217</v>
      </c>
      <c r="I228" s="96" t="s">
        <v>96</v>
      </c>
    </row>
    <row r="229" spans="1:9" ht="13">
      <c r="A229" s="96">
        <v>3</v>
      </c>
      <c r="B229" s="96">
        <v>9</v>
      </c>
      <c r="C229" s="96" t="s">
        <v>842</v>
      </c>
      <c r="D229" s="96">
        <v>6</v>
      </c>
      <c r="E229" s="96" t="str">
        <f t="shared" si="0"/>
        <v>9::Data science::6::- Visualise a data set</v>
      </c>
      <c r="F229" s="96" t="s">
        <v>858</v>
      </c>
      <c r="G229" s="96">
        <v>3.7</v>
      </c>
      <c r="H229" s="96" t="s">
        <v>206</v>
      </c>
      <c r="I229" s="96" t="s">
        <v>96</v>
      </c>
    </row>
    <row r="230" spans="1:9" ht="13">
      <c r="A230" s="96">
        <v>3</v>
      </c>
      <c r="B230" s="96">
        <v>9</v>
      </c>
      <c r="C230" s="96" t="s">
        <v>842</v>
      </c>
      <c r="D230" s="96">
        <v>6</v>
      </c>
      <c r="E230" s="96" t="str">
        <f t="shared" si="0"/>
        <v>9::Data science::6::- Analyse visualisations to identify patterns, trends, and outliers</v>
      </c>
      <c r="F230" s="96" t="s">
        <v>859</v>
      </c>
      <c r="G230" s="96">
        <v>3.7</v>
      </c>
      <c r="H230" s="96" t="s">
        <v>12</v>
      </c>
      <c r="I230" s="96" t="s">
        <v>96</v>
      </c>
    </row>
    <row r="231" spans="1:9" ht="13">
      <c r="A231" s="96">
        <v>3</v>
      </c>
      <c r="B231" s="96">
        <v>9</v>
      </c>
      <c r="C231" s="96" t="s">
        <v>842</v>
      </c>
      <c r="D231" s="96">
        <v>6</v>
      </c>
      <c r="E231" s="96" t="str">
        <f t="shared" si="0"/>
        <v>9::Data science::6::- Draw conclusions and report findings</v>
      </c>
      <c r="F231" s="96" t="s">
        <v>860</v>
      </c>
      <c r="G231" s="96">
        <v>3.7</v>
      </c>
      <c r="H231" s="96" t="s">
        <v>847</v>
      </c>
      <c r="I231" s="96" t="s">
        <v>96</v>
      </c>
    </row>
    <row r="232" spans="1:9" ht="13">
      <c r="A232" s="96">
        <v>3</v>
      </c>
      <c r="B232" s="96">
        <v>9</v>
      </c>
      <c r="C232" s="96" t="s">
        <v>861</v>
      </c>
      <c r="D232" s="96">
        <v>1</v>
      </c>
      <c r="E232" s="96" t="str">
        <f t="shared" si="0"/>
        <v>9::Media – Animations::1::- Add, delete, and move objects</v>
      </c>
      <c r="F232" s="96" t="s">
        <v>862</v>
      </c>
      <c r="G232" s="96">
        <v>3.8</v>
      </c>
      <c r="H232" s="96" t="s">
        <v>95</v>
      </c>
      <c r="I232" s="96" t="s">
        <v>96</v>
      </c>
    </row>
    <row r="233" spans="1:9" ht="13">
      <c r="A233" s="96">
        <v>3</v>
      </c>
      <c r="B233" s="96">
        <v>9</v>
      </c>
      <c r="C233" s="96" t="s">
        <v>861</v>
      </c>
      <c r="D233" s="96">
        <v>1</v>
      </c>
      <c r="E233" s="96" t="str">
        <f t="shared" si="0"/>
        <v>9::Media – Animations::1::- Scale and rotate objects</v>
      </c>
      <c r="F233" s="96" t="s">
        <v>863</v>
      </c>
      <c r="G233" s="96">
        <v>3.8</v>
      </c>
      <c r="H233" s="96" t="s">
        <v>95</v>
      </c>
      <c r="I233" s="96" t="s">
        <v>96</v>
      </c>
    </row>
    <row r="234" spans="1:9" ht="13">
      <c r="A234" s="96">
        <v>3</v>
      </c>
      <c r="B234" s="96">
        <v>9</v>
      </c>
      <c r="C234" s="96" t="s">
        <v>861</v>
      </c>
      <c r="D234" s="96">
        <v>1</v>
      </c>
      <c r="E234" s="96" t="str">
        <f t="shared" si="0"/>
        <v>9::Media – Animations::1::- Use a material to add colour to objects</v>
      </c>
      <c r="F234" s="96" t="s">
        <v>864</v>
      </c>
      <c r="G234" s="96">
        <v>3.8</v>
      </c>
      <c r="H234" s="96" t="s">
        <v>95</v>
      </c>
      <c r="I234" s="96" t="s">
        <v>96</v>
      </c>
    </row>
    <row r="235" spans="1:9" ht="13">
      <c r="A235" s="96">
        <v>3</v>
      </c>
      <c r="B235" s="96">
        <v>9</v>
      </c>
      <c r="C235" s="96" t="s">
        <v>861</v>
      </c>
      <c r="D235" s="96">
        <v>2</v>
      </c>
      <c r="E235" s="96" t="str">
        <f t="shared" si="0"/>
        <v>9::Media – Animations::2::- Add, move, and delete keyframes to make basic animations</v>
      </c>
      <c r="F235" s="96" t="s">
        <v>865</v>
      </c>
      <c r="G235" s="96">
        <v>3.8</v>
      </c>
      <c r="H235" s="96" t="s">
        <v>95</v>
      </c>
      <c r="I235" s="96" t="s">
        <v>96</v>
      </c>
    </row>
    <row r="236" spans="1:9" ht="13">
      <c r="A236" s="96">
        <v>3</v>
      </c>
      <c r="B236" s="96">
        <v>9</v>
      </c>
      <c r="C236" s="96" t="s">
        <v>861</v>
      </c>
      <c r="D236" s="96">
        <v>2</v>
      </c>
      <c r="E236" s="96" t="str">
        <f t="shared" si="0"/>
        <v>9::Media – Animations::2::- Play, pause, and move through the animation using the timeline</v>
      </c>
      <c r="F236" s="96" t="s">
        <v>866</v>
      </c>
      <c r="G236" s="96">
        <v>3.8</v>
      </c>
      <c r="H236" s="96" t="s">
        <v>95</v>
      </c>
      <c r="I236" s="96" t="s">
        <v>96</v>
      </c>
    </row>
    <row r="237" spans="1:9" ht="13">
      <c r="A237" s="96">
        <v>3</v>
      </c>
      <c r="B237" s="96">
        <v>9</v>
      </c>
      <c r="C237" s="96" t="s">
        <v>861</v>
      </c>
      <c r="D237" s="96">
        <v>2</v>
      </c>
      <c r="E237" s="96" t="str">
        <f t="shared" si="0"/>
        <v>9::Media – Animations::2::- Create useful names for objects</v>
      </c>
      <c r="F237" s="96" t="s">
        <v>867</v>
      </c>
      <c r="G237" s="96">
        <v>3.8</v>
      </c>
      <c r="H237" s="96" t="s">
        <v>95</v>
      </c>
      <c r="I237" s="96" t="s">
        <v>96</v>
      </c>
    </row>
    <row r="238" spans="1:9" ht="13">
      <c r="A238" s="96">
        <v>3</v>
      </c>
      <c r="B238" s="96">
        <v>9</v>
      </c>
      <c r="C238" s="96" t="s">
        <v>861</v>
      </c>
      <c r="D238" s="96">
        <v>2</v>
      </c>
      <c r="E238" s="96" t="str">
        <f t="shared" si="0"/>
        <v>9::Media – Animations::2::- Join multiple objects together using parenting</v>
      </c>
      <c r="F238" s="96" t="s">
        <v>868</v>
      </c>
      <c r="G238" s="96">
        <v>3.8</v>
      </c>
      <c r="H238" s="96" t="s">
        <v>95</v>
      </c>
      <c r="I238" s="96" t="s">
        <v>96</v>
      </c>
    </row>
    <row r="239" spans="1:9" ht="13">
      <c r="A239" s="96">
        <v>3</v>
      </c>
      <c r="B239" s="96">
        <v>9</v>
      </c>
      <c r="C239" s="96" t="s">
        <v>861</v>
      </c>
      <c r="D239" s="96">
        <v>3</v>
      </c>
      <c r="E239" s="96" t="str">
        <f t="shared" si="0"/>
        <v>9::Media – Animations::3::- Use edit mode and extrude</v>
      </c>
      <c r="F239" s="96" t="s">
        <v>869</v>
      </c>
      <c r="G239" s="96">
        <v>3.8</v>
      </c>
      <c r="H239" s="96" t="s">
        <v>95</v>
      </c>
      <c r="I239" s="96" t="s">
        <v>96</v>
      </c>
    </row>
    <row r="240" spans="1:9" ht="13">
      <c r="A240" s="96">
        <v>3</v>
      </c>
      <c r="B240" s="96">
        <v>9</v>
      </c>
      <c r="C240" s="96" t="s">
        <v>861</v>
      </c>
      <c r="D240" s="96">
        <v>3</v>
      </c>
      <c r="E240" s="96" t="str">
        <f t="shared" si="0"/>
        <v>9::Media – Animations::3::- Use loop cut and face editing</v>
      </c>
      <c r="F240" s="96" t="s">
        <v>870</v>
      </c>
      <c r="G240" s="96">
        <v>3.8</v>
      </c>
      <c r="H240" s="96" t="s">
        <v>95</v>
      </c>
      <c r="I240" s="96" t="s">
        <v>96</v>
      </c>
    </row>
    <row r="241" spans="1:9" ht="13">
      <c r="A241" s="96">
        <v>3</v>
      </c>
      <c r="B241" s="96">
        <v>9</v>
      </c>
      <c r="C241" s="96" t="s">
        <v>861</v>
      </c>
      <c r="D241" s="96">
        <v>3</v>
      </c>
      <c r="E241" s="96" t="str">
        <f t="shared" si="0"/>
        <v>9::Media – Animations::3::- Apply different colours to different parts of the same model</v>
      </c>
      <c r="F241" s="96" t="s">
        <v>871</v>
      </c>
      <c r="G241" s="96">
        <v>3.8</v>
      </c>
      <c r="H241" s="96" t="s">
        <v>95</v>
      </c>
      <c r="I241" s="96" t="s">
        <v>96</v>
      </c>
    </row>
    <row r="242" spans="1:9" ht="13">
      <c r="A242" s="96">
        <v>3</v>
      </c>
      <c r="B242" s="96">
        <v>9</v>
      </c>
      <c r="C242" s="96" t="s">
        <v>861</v>
      </c>
      <c r="D242" s="96">
        <v>4</v>
      </c>
      <c r="E242" s="96" t="str">
        <f t="shared" si="0"/>
        <v>9::Media – Animations::4::- Use proportional editing</v>
      </c>
      <c r="F242" s="96" t="s">
        <v>872</v>
      </c>
      <c r="G242" s="96">
        <v>3.8</v>
      </c>
      <c r="H242" s="96" t="s">
        <v>95</v>
      </c>
      <c r="I242" s="96" t="s">
        <v>96</v>
      </c>
    </row>
    <row r="243" spans="1:9" ht="13">
      <c r="A243" s="96">
        <v>3</v>
      </c>
      <c r="B243" s="96">
        <v>9</v>
      </c>
      <c r="C243" s="96" t="s">
        <v>861</v>
      </c>
      <c r="D243" s="96">
        <v>4</v>
      </c>
      <c r="E243" s="96" t="str">
        <f t="shared" si="0"/>
        <v>9::Media – Animations::4::- Use the knife tool</v>
      </c>
      <c r="F243" s="96" t="s">
        <v>873</v>
      </c>
      <c r="G243" s="96">
        <v>3.8</v>
      </c>
      <c r="H243" s="96" t="s">
        <v>95</v>
      </c>
      <c r="I243" s="96" t="s">
        <v>96</v>
      </c>
    </row>
    <row r="244" spans="1:9" ht="13">
      <c r="A244" s="96">
        <v>3</v>
      </c>
      <c r="B244" s="96">
        <v>9</v>
      </c>
      <c r="C244" s="96" t="s">
        <v>861</v>
      </c>
      <c r="D244" s="96">
        <v>4</v>
      </c>
      <c r="E244" s="96" t="str">
        <f t="shared" si="0"/>
        <v>9::Media – Animations::4::- Use subdivision</v>
      </c>
      <c r="F244" s="96" t="s">
        <v>874</v>
      </c>
      <c r="G244" s="96">
        <v>3.8</v>
      </c>
      <c r="H244" s="96" t="s">
        <v>95</v>
      </c>
      <c r="I244" s="96" t="s">
        <v>96</v>
      </c>
    </row>
    <row r="245" spans="1:9" ht="13">
      <c r="A245" s="96">
        <v>3</v>
      </c>
      <c r="B245" s="96">
        <v>9</v>
      </c>
      <c r="C245" s="96" t="s">
        <v>861</v>
      </c>
      <c r="D245" s="96">
        <v>5</v>
      </c>
      <c r="E245" s="96" t="str">
        <f t="shared" si="0"/>
        <v>9::Media – Animations::5::- Add and edit set lighting</v>
      </c>
      <c r="F245" s="96" t="s">
        <v>875</v>
      </c>
      <c r="G245" s="96">
        <v>3.8</v>
      </c>
      <c r="H245" s="96" t="s">
        <v>95</v>
      </c>
      <c r="I245" s="96" t="s">
        <v>96</v>
      </c>
    </row>
    <row r="246" spans="1:9" ht="13">
      <c r="A246" s="96">
        <v>3</v>
      </c>
      <c r="B246" s="96">
        <v>9</v>
      </c>
      <c r="C246" s="96" t="s">
        <v>861</v>
      </c>
      <c r="D246" s="96">
        <v>5</v>
      </c>
      <c r="E246" s="96" t="str">
        <f t="shared" si="0"/>
        <v>9::Media – Animations::5::- Set up the camera</v>
      </c>
      <c r="F246" s="96" t="s">
        <v>876</v>
      </c>
      <c r="G246" s="96">
        <v>3.8</v>
      </c>
      <c r="H246" s="96" t="s">
        <v>95</v>
      </c>
      <c r="I246" s="96" t="s">
        <v>96</v>
      </c>
    </row>
    <row r="247" spans="1:9" ht="13">
      <c r="A247" s="96">
        <v>3</v>
      </c>
      <c r="B247" s="96">
        <v>9</v>
      </c>
      <c r="C247" s="96" t="s">
        <v>861</v>
      </c>
      <c r="D247" s="96">
        <v>5</v>
      </c>
      <c r="E247" s="96" t="str">
        <f t="shared" si="0"/>
        <v>9::Media – Animations::5::- Compare different render modes</v>
      </c>
      <c r="F247" s="96" t="s">
        <v>877</v>
      </c>
      <c r="G247" s="96">
        <v>3.8</v>
      </c>
      <c r="H247" s="96" t="s">
        <v>95</v>
      </c>
      <c r="I247" s="96" t="s">
        <v>96</v>
      </c>
    </row>
    <row r="248" spans="1:9" ht="13">
      <c r="A248" s="96">
        <v>3</v>
      </c>
      <c r="B248" s="96">
        <v>9</v>
      </c>
      <c r="C248" s="96" t="s">
        <v>861</v>
      </c>
      <c r="D248" s="96">
        <v>6</v>
      </c>
      <c r="E248" s="96" t="str">
        <f t="shared" si="0"/>
        <v>9::Media – Animations::6::- Create a 3–10 second animation</v>
      </c>
      <c r="F248" s="96" t="s">
        <v>878</v>
      </c>
      <c r="G248" s="96">
        <v>3.8</v>
      </c>
      <c r="H248" s="96" t="s">
        <v>95</v>
      </c>
      <c r="I248" s="96" t="s">
        <v>96</v>
      </c>
    </row>
    <row r="249" spans="1:9" ht="13">
      <c r="A249" s="96">
        <v>3</v>
      </c>
      <c r="B249" s="96">
        <v>9</v>
      </c>
      <c r="C249" s="96" t="s">
        <v>861</v>
      </c>
      <c r="D249" s="96">
        <v>6</v>
      </c>
      <c r="E249" s="96" t="str">
        <f t="shared" si="0"/>
        <v>9::Media – Animations::6::- Render out the animation</v>
      </c>
      <c r="F249" s="96" t="s">
        <v>879</v>
      </c>
      <c r="G249" s="96">
        <v>3.8</v>
      </c>
      <c r="H249" s="96" t="s">
        <v>95</v>
      </c>
      <c r="I249" s="96" t="s">
        <v>96</v>
      </c>
    </row>
    <row r="250" spans="1:9" ht="13">
      <c r="A250" s="96">
        <v>3</v>
      </c>
      <c r="B250" s="96">
        <v>9</v>
      </c>
      <c r="C250" s="96" t="s">
        <v>880</v>
      </c>
      <c r="D250" s="96">
        <v>1</v>
      </c>
      <c r="E250" s="96" t="str">
        <f t="shared" si="0"/>
        <v>9::Physical computing::1::- Describe what the micro:bit is</v>
      </c>
      <c r="F250" s="96" t="s">
        <v>881</v>
      </c>
      <c r="G250" s="96" t="s">
        <v>756</v>
      </c>
      <c r="H250" s="96" t="s">
        <v>18</v>
      </c>
      <c r="I250" s="96" t="s">
        <v>96</v>
      </c>
    </row>
    <row r="251" spans="1:9" ht="13">
      <c r="A251" s="96">
        <v>3</v>
      </c>
      <c r="B251" s="96">
        <v>9</v>
      </c>
      <c r="C251" s="96" t="s">
        <v>880</v>
      </c>
      <c r="D251" s="96">
        <v>1</v>
      </c>
      <c r="E251" s="96" t="str">
        <f t="shared" si="0"/>
        <v>9::Physical computing::1::- List the micro:bit’s input and output devices</v>
      </c>
      <c r="F251" s="96" t="s">
        <v>882</v>
      </c>
      <c r="G251" s="96" t="s">
        <v>756</v>
      </c>
      <c r="H251" s="96" t="s">
        <v>18</v>
      </c>
      <c r="I251" s="96" t="s">
        <v>96</v>
      </c>
    </row>
    <row r="252" spans="1:9" ht="13">
      <c r="A252" s="96">
        <v>3</v>
      </c>
      <c r="B252" s="96">
        <v>9</v>
      </c>
      <c r="C252" s="96" t="s">
        <v>880</v>
      </c>
      <c r="D252" s="96">
        <v>1</v>
      </c>
      <c r="E252" s="96" t="str">
        <f t="shared" si="0"/>
        <v>9::Physical computing::1::- Use a development environment to write, execute, and debug a Python program for the micro:bit</v>
      </c>
      <c r="F252" s="96" t="s">
        <v>883</v>
      </c>
      <c r="G252" s="96" t="s">
        <v>756</v>
      </c>
      <c r="H252" s="96" t="s">
        <v>884</v>
      </c>
      <c r="I252" s="96" t="s">
        <v>96</v>
      </c>
    </row>
    <row r="253" spans="1:9" ht="13">
      <c r="A253" s="96">
        <v>3</v>
      </c>
      <c r="B253" s="96">
        <v>9</v>
      </c>
      <c r="C253" s="96" t="s">
        <v>880</v>
      </c>
      <c r="D253" s="96">
        <v>2</v>
      </c>
      <c r="E253" s="96" t="str">
        <f t="shared" si="0"/>
        <v>9::Physical computing::2::- Write programs that use the micro:bit’s built-in input and output devices</v>
      </c>
      <c r="F253" s="96" t="s">
        <v>885</v>
      </c>
      <c r="G253" s="96" t="s">
        <v>756</v>
      </c>
      <c r="H253" s="96" t="s">
        <v>886</v>
      </c>
      <c r="I253" s="96" t="s">
        <v>96</v>
      </c>
    </row>
    <row r="254" spans="1:9" ht="13">
      <c r="A254" s="96">
        <v>3</v>
      </c>
      <c r="B254" s="96">
        <v>9</v>
      </c>
      <c r="C254" s="96" t="s">
        <v>880</v>
      </c>
      <c r="D254" s="96">
        <v>3</v>
      </c>
      <c r="E254" s="96" t="str">
        <f t="shared" si="0"/>
        <v>9::Physical computing::3::- Write programs that use GPIO pins to generate output and receive input</v>
      </c>
      <c r="F254" s="96" t="s">
        <v>887</v>
      </c>
      <c r="G254" s="96" t="s">
        <v>756</v>
      </c>
      <c r="H254" s="96" t="s">
        <v>886</v>
      </c>
      <c r="I254" s="96" t="s">
        <v>96</v>
      </c>
    </row>
    <row r="255" spans="1:9" ht="13">
      <c r="A255" s="96">
        <v>3</v>
      </c>
      <c r="B255" s="96">
        <v>9</v>
      </c>
      <c r="C255" s="96" t="s">
        <v>880</v>
      </c>
      <c r="D255" s="96">
        <v>3</v>
      </c>
      <c r="E255" s="96" t="str">
        <f t="shared" si="0"/>
        <v>9::Physical computing::3::- Write programs that communicate with other devices by sending and receiving messages wirelessly</v>
      </c>
      <c r="F255" s="96" t="s">
        <v>888</v>
      </c>
      <c r="G255" s="96" t="s">
        <v>756</v>
      </c>
      <c r="H255" s="96" t="s">
        <v>889</v>
      </c>
      <c r="I255" s="96" t="s">
        <v>96</v>
      </c>
    </row>
    <row r="256" spans="1:9" ht="13">
      <c r="A256" s="96">
        <v>3</v>
      </c>
      <c r="B256" s="96">
        <v>9</v>
      </c>
      <c r="C256" s="96" t="s">
        <v>880</v>
      </c>
      <c r="D256" s="96">
        <v>4</v>
      </c>
      <c r="E256" s="96" t="str">
        <f t="shared" si="0"/>
        <v>9::Physical computing::4::- Design a physical computing artifact purposefully, keeping in mind the problem at hand, the needs of the audience involved, and the available resources</v>
      </c>
      <c r="F256" s="96" t="s">
        <v>890</v>
      </c>
      <c r="G256" s="96" t="s">
        <v>756</v>
      </c>
      <c r="H256" s="96" t="s">
        <v>891</v>
      </c>
      <c r="I256" s="96" t="s">
        <v>96</v>
      </c>
    </row>
    <row r="257" spans="1:9" ht="13">
      <c r="A257" s="96">
        <v>3</v>
      </c>
      <c r="B257" s="96">
        <v>9</v>
      </c>
      <c r="C257" s="96" t="s">
        <v>880</v>
      </c>
      <c r="D257" s="96">
        <v>4</v>
      </c>
      <c r="E257" s="96" t="str">
        <f t="shared" ref="E257:E292" si="1">B257&amp;"::"&amp;C257&amp;"::"&amp;D257&amp;"::"&amp;F257</f>
        <v>9::Physical computing::4::- Decompose the functionality of a physical computing system into simpler features</v>
      </c>
      <c r="F257" s="96" t="s">
        <v>892</v>
      </c>
      <c r="G257" s="96" t="s">
        <v>756</v>
      </c>
      <c r="H257" s="96" t="s">
        <v>891</v>
      </c>
      <c r="I257" s="96" t="s">
        <v>96</v>
      </c>
    </row>
    <row r="258" spans="1:9" ht="13">
      <c r="A258" s="96">
        <v>3</v>
      </c>
      <c r="B258" s="96">
        <v>9</v>
      </c>
      <c r="C258" s="96" t="s">
        <v>880</v>
      </c>
      <c r="D258" s="96">
        <v>5</v>
      </c>
      <c r="E258" s="96" t="str">
        <f t="shared" si="1"/>
        <v>9::Physical computing::5::- Implement a physical computing project, while following, revising, and refining the project plan</v>
      </c>
      <c r="F258" s="96" t="s">
        <v>893</v>
      </c>
      <c r="G258" s="96" t="s">
        <v>756</v>
      </c>
      <c r="H258" s="96" t="s">
        <v>505</v>
      </c>
      <c r="I258" s="96" t="s">
        <v>96</v>
      </c>
    </row>
    <row r="259" spans="1:9" ht="13">
      <c r="A259" s="96">
        <v>3</v>
      </c>
      <c r="B259" s="96">
        <v>9</v>
      </c>
      <c r="C259" s="96" t="s">
        <v>880</v>
      </c>
      <c r="D259" s="96">
        <v>6</v>
      </c>
      <c r="E259" s="96" t="str">
        <f t="shared" si="1"/>
        <v>9::Physical computing::6::- Implement a physical computing project, while following, revising, and refining the project plan</v>
      </c>
      <c r="F259" s="96" t="s">
        <v>893</v>
      </c>
      <c r="G259" s="96" t="s">
        <v>756</v>
      </c>
      <c r="H259" s="96" t="s">
        <v>894</v>
      </c>
      <c r="I259" s="96" t="s">
        <v>96</v>
      </c>
    </row>
    <row r="260" spans="1:9" ht="13">
      <c r="A260" s="96">
        <v>3</v>
      </c>
      <c r="B260" s="96">
        <v>9</v>
      </c>
      <c r="C260" s="96" t="s">
        <v>895</v>
      </c>
      <c r="D260" s="96">
        <v>1</v>
      </c>
      <c r="E260" s="96" t="str">
        <f t="shared" si="1"/>
        <v>9::Python programming with sequences of data::1::- Write programs that display messages, receive keyboard input, and use simple arithmetic expressions in assignment statements</v>
      </c>
      <c r="F260" s="96" t="s">
        <v>896</v>
      </c>
      <c r="G260" s="96" t="s">
        <v>756</v>
      </c>
      <c r="H260" s="96" t="s">
        <v>496</v>
      </c>
      <c r="I260" s="96" t="s">
        <v>96</v>
      </c>
    </row>
    <row r="261" spans="1:9" ht="13">
      <c r="A261" s="96">
        <v>3</v>
      </c>
      <c r="B261" s="96">
        <v>9</v>
      </c>
      <c r="C261" s="96" t="s">
        <v>895</v>
      </c>
      <c r="D261" s="96">
        <v>1</v>
      </c>
      <c r="E261" s="96" t="str">
        <f t="shared" si="1"/>
        <v>9::Python programming with sequences of data::1::- Locate and correct common syntax errors</v>
      </c>
      <c r="F261" s="96" t="s">
        <v>759</v>
      </c>
      <c r="G261" s="96" t="s">
        <v>756</v>
      </c>
      <c r="H261" s="96" t="s">
        <v>234</v>
      </c>
      <c r="I261" s="96" t="s">
        <v>96</v>
      </c>
    </row>
    <row r="262" spans="1:9" ht="13">
      <c r="A262" s="96">
        <v>3</v>
      </c>
      <c r="B262" s="96">
        <v>9</v>
      </c>
      <c r="C262" s="96" t="s">
        <v>895</v>
      </c>
      <c r="D262" s="96">
        <v>1</v>
      </c>
      <c r="E262" s="96" t="str">
        <f t="shared" si="1"/>
        <v>9::Python programming with sequences of data::1::- Create lists and access individual list items</v>
      </c>
      <c r="F262" s="96" t="s">
        <v>897</v>
      </c>
      <c r="G262" s="96" t="s">
        <v>756</v>
      </c>
      <c r="H262" s="96" t="s">
        <v>898</v>
      </c>
      <c r="I262" s="96" t="s">
        <v>96</v>
      </c>
    </row>
    <row r="263" spans="1:9" ht="13">
      <c r="A263" s="96">
        <v>3</v>
      </c>
      <c r="B263" s="96">
        <v>9</v>
      </c>
      <c r="C263" s="96" t="s">
        <v>895</v>
      </c>
      <c r="D263" s="96">
        <v>1</v>
      </c>
      <c r="E263" s="96" t="str">
        <f t="shared" si="1"/>
        <v>9::Python programming with sequences of data::1::- Use selection (**if-elif-else* statements) to control the flow of program execution</v>
      </c>
      <c r="F263" s="96" t="s">
        <v>899</v>
      </c>
      <c r="G263" s="96" t="s">
        <v>756</v>
      </c>
      <c r="H263" s="96" t="s">
        <v>27</v>
      </c>
      <c r="I263" s="96" t="s">
        <v>96</v>
      </c>
    </row>
    <row r="264" spans="1:9" ht="13">
      <c r="A264" s="96">
        <v>3</v>
      </c>
      <c r="B264" s="96">
        <v>9</v>
      </c>
      <c r="C264" s="96" t="s">
        <v>895</v>
      </c>
      <c r="D264" s="96">
        <v>2</v>
      </c>
      <c r="E264" s="96" t="str">
        <f t="shared" si="1"/>
        <v>9::Python programming with sequences of data::2::- Perform common operations on lists or individual items</v>
      </c>
      <c r="F264" s="96" t="s">
        <v>900</v>
      </c>
      <c r="G264" s="96" t="s">
        <v>756</v>
      </c>
      <c r="H264" s="96" t="s">
        <v>27</v>
      </c>
      <c r="I264" s="96" t="s">
        <v>96</v>
      </c>
    </row>
    <row r="265" spans="1:9" ht="13">
      <c r="A265" s="96">
        <v>3</v>
      </c>
      <c r="B265" s="96">
        <v>9</v>
      </c>
      <c r="C265" s="96" t="s">
        <v>895</v>
      </c>
      <c r="D265" s="96">
        <v>3</v>
      </c>
      <c r="E265" s="96" t="str">
        <f t="shared" si="1"/>
        <v>9::Python programming with sequences of data::3::- Use iteration (while statements) to control the flow of program execution</v>
      </c>
      <c r="F265" s="96" t="s">
        <v>901</v>
      </c>
      <c r="G265" s="96" t="s">
        <v>756</v>
      </c>
      <c r="H265" s="96" t="s">
        <v>234</v>
      </c>
      <c r="I265" s="96" t="s">
        <v>96</v>
      </c>
    </row>
    <row r="266" spans="1:9" ht="13">
      <c r="A266" s="96">
        <v>3</v>
      </c>
      <c r="B266" s="96">
        <v>9</v>
      </c>
      <c r="C266" s="96" t="s">
        <v>895</v>
      </c>
      <c r="D266" s="96">
        <v>3</v>
      </c>
      <c r="E266" s="96" t="str">
        <f t="shared" si="1"/>
        <v>9::Python programming with sequences of data::3::- Perform common operations on lists or individual items</v>
      </c>
      <c r="F266" s="96" t="s">
        <v>900</v>
      </c>
      <c r="G266" s="96" t="s">
        <v>756</v>
      </c>
      <c r="H266" s="96" t="s">
        <v>898</v>
      </c>
      <c r="I266" s="96" t="s">
        <v>96</v>
      </c>
    </row>
    <row r="267" spans="1:9" ht="13">
      <c r="A267" s="96">
        <v>3</v>
      </c>
      <c r="B267" s="96">
        <v>9</v>
      </c>
      <c r="C267" s="96" t="s">
        <v>895</v>
      </c>
      <c r="D267" s="96">
        <v>3</v>
      </c>
      <c r="E267" s="96" t="str">
        <f t="shared" si="1"/>
        <v>9::Python programming with sequences of data::3::- Perform common operations on strings or individual characters</v>
      </c>
      <c r="F267" s="96" t="s">
        <v>902</v>
      </c>
      <c r="G267" s="96" t="s">
        <v>756</v>
      </c>
      <c r="H267" s="96" t="s">
        <v>27</v>
      </c>
      <c r="I267" s="96" t="s">
        <v>96</v>
      </c>
    </row>
    <row r="268" spans="1:9" ht="13">
      <c r="A268" s="96">
        <v>3</v>
      </c>
      <c r="B268" s="96">
        <v>9</v>
      </c>
      <c r="C268" s="96" t="s">
        <v>895</v>
      </c>
      <c r="D268" s="96">
        <v>4</v>
      </c>
      <c r="E268" s="96" t="str">
        <f t="shared" si="1"/>
        <v>9::Python programming with sequences of data::4::- Use iteration (for statements) to iterate over list items</v>
      </c>
      <c r="F268" s="96" t="s">
        <v>903</v>
      </c>
      <c r="G268" s="96" t="s">
        <v>756</v>
      </c>
      <c r="H268" s="96" t="s">
        <v>898</v>
      </c>
      <c r="I268" s="96" t="s">
        <v>96</v>
      </c>
    </row>
    <row r="269" spans="1:9" ht="13">
      <c r="A269" s="96">
        <v>3</v>
      </c>
      <c r="B269" s="96">
        <v>9</v>
      </c>
      <c r="C269" s="96" t="s">
        <v>895</v>
      </c>
      <c r="D269" s="96">
        <v>4</v>
      </c>
      <c r="E269" s="96" t="str">
        <f t="shared" si="1"/>
        <v>9::Python programming with sequences of data::4::- Perform common operations on lists or strings</v>
      </c>
      <c r="F269" s="96" t="s">
        <v>904</v>
      </c>
      <c r="G269" s="96" t="s">
        <v>756</v>
      </c>
      <c r="H269" s="96" t="s">
        <v>905</v>
      </c>
      <c r="I269" s="96" t="s">
        <v>96</v>
      </c>
    </row>
    <row r="270" spans="1:9" ht="13">
      <c r="A270" s="96">
        <v>3</v>
      </c>
      <c r="B270" s="96">
        <v>9</v>
      </c>
      <c r="C270" s="96" t="s">
        <v>895</v>
      </c>
      <c r="D270" s="96">
        <v>5</v>
      </c>
      <c r="E270" s="96" t="str">
        <f t="shared" si="1"/>
        <v>9::Python programming with sequences of data::5::- Use iteration (for loops) to iterate over lists and strings</v>
      </c>
      <c r="F270" s="96" t="s">
        <v>906</v>
      </c>
      <c r="G270" s="96" t="s">
        <v>756</v>
      </c>
      <c r="H270" s="96" t="s">
        <v>898</v>
      </c>
      <c r="I270" s="96" t="s">
        <v>96</v>
      </c>
    </row>
    <row r="271" spans="1:9" ht="13">
      <c r="A271" s="96">
        <v>3</v>
      </c>
      <c r="B271" s="96">
        <v>9</v>
      </c>
      <c r="C271" s="96" t="s">
        <v>895</v>
      </c>
      <c r="D271" s="96">
        <v>5</v>
      </c>
      <c r="E271" s="96" t="str">
        <f t="shared" si="1"/>
        <v>9::Python programming with sequences of data::5::- Use variables to keep track of counts and sums</v>
      </c>
      <c r="F271" s="96" t="s">
        <v>907</v>
      </c>
      <c r="G271" s="96" t="s">
        <v>756</v>
      </c>
      <c r="H271" s="96" t="s">
        <v>898</v>
      </c>
      <c r="I271" s="96" t="s">
        <v>96</v>
      </c>
    </row>
    <row r="272" spans="1:9" ht="13">
      <c r="A272" s="96">
        <v>3</v>
      </c>
      <c r="B272" s="96">
        <v>9</v>
      </c>
      <c r="C272" s="96" t="s">
        <v>895</v>
      </c>
      <c r="D272" s="96">
        <v>5</v>
      </c>
      <c r="E272" s="96" t="str">
        <f t="shared" si="1"/>
        <v>9::Python programming with sequences of data::5::- Combine key programming language features to develop solutions to meaningful problems</v>
      </c>
      <c r="F272" s="96" t="s">
        <v>908</v>
      </c>
      <c r="G272" s="96" t="s">
        <v>756</v>
      </c>
      <c r="H272" s="96" t="s">
        <v>898</v>
      </c>
      <c r="I272" s="96" t="s">
        <v>96</v>
      </c>
    </row>
    <row r="273" spans="1:9" ht="13">
      <c r="A273" s="96">
        <v>3</v>
      </c>
      <c r="B273" s="96">
        <v>9</v>
      </c>
      <c r="C273" s="96" t="s">
        <v>895</v>
      </c>
      <c r="D273" s="96">
        <v>6</v>
      </c>
      <c r="E273" s="96" t="str">
        <f t="shared" si="1"/>
        <v>9::Python programming with sequences of data::6::- Apply all of the skills covered in this unit</v>
      </c>
      <c r="F273" s="96" t="s">
        <v>818</v>
      </c>
      <c r="G273" s="96" t="s">
        <v>756</v>
      </c>
      <c r="H273" s="96" t="s">
        <v>894</v>
      </c>
      <c r="I273" s="96" t="s">
        <v>96</v>
      </c>
    </row>
    <row r="274" spans="1:9" ht="13">
      <c r="A274" s="96">
        <v>3</v>
      </c>
      <c r="B274" s="96">
        <v>9</v>
      </c>
      <c r="C274" s="96" t="s">
        <v>909</v>
      </c>
      <c r="D274" s="96">
        <v>1</v>
      </c>
      <c r="E274" s="96" t="str">
        <f t="shared" si="1"/>
        <v>9::Representations – going audiovisual::1::- Describe how digital images are composed of individual elements</v>
      </c>
      <c r="F274" s="96" t="s">
        <v>910</v>
      </c>
      <c r="G274" s="96">
        <v>3.6</v>
      </c>
      <c r="H274" s="96" t="s">
        <v>12</v>
      </c>
      <c r="I274" s="96" t="s">
        <v>96</v>
      </c>
    </row>
    <row r="275" spans="1:9" ht="13">
      <c r="A275" s="96">
        <v>3</v>
      </c>
      <c r="B275" s="96">
        <v>9</v>
      </c>
      <c r="C275" s="96" t="s">
        <v>909</v>
      </c>
      <c r="D275" s="96">
        <v>1</v>
      </c>
      <c r="E275" s="96" t="str">
        <f t="shared" si="1"/>
        <v>9::Representations – going audiovisual::1::- Recall that the colour of each picture element is represented using a sequence of binary digits</v>
      </c>
      <c r="F275" s="96" t="s">
        <v>911</v>
      </c>
      <c r="G275" s="96">
        <v>3.6</v>
      </c>
      <c r="H275" s="96" t="s">
        <v>12</v>
      </c>
      <c r="I275" s="96" t="s">
        <v>96</v>
      </c>
    </row>
    <row r="276" spans="1:9" ht="13">
      <c r="A276" s="96">
        <v>3</v>
      </c>
      <c r="B276" s="96">
        <v>9</v>
      </c>
      <c r="C276" s="96" t="s">
        <v>909</v>
      </c>
      <c r="D276" s="96">
        <v>1</v>
      </c>
      <c r="E276" s="96" t="str">
        <f t="shared" si="1"/>
        <v>9::Representations – going audiovisual::1::- Define key terms such as ‘pixels’, ‘resolution’, and ‘colour depth’</v>
      </c>
      <c r="F276" s="96" t="s">
        <v>912</v>
      </c>
      <c r="G276" s="96">
        <v>3.6</v>
      </c>
      <c r="H276" s="96" t="s">
        <v>12</v>
      </c>
      <c r="I276" s="96" t="s">
        <v>96</v>
      </c>
    </row>
    <row r="277" spans="1:9" ht="13">
      <c r="A277" s="96">
        <v>3</v>
      </c>
      <c r="B277" s="96">
        <v>9</v>
      </c>
      <c r="C277" s="96" t="s">
        <v>909</v>
      </c>
      <c r="D277" s="96">
        <v>1</v>
      </c>
      <c r="E277" s="96" t="str">
        <f t="shared" si="1"/>
        <v>9::Representations – going audiovisual::1::- Describe how an image can be represented as a sequence of bits</v>
      </c>
      <c r="F277" s="96" t="s">
        <v>913</v>
      </c>
      <c r="G277" s="96">
        <v>3.6</v>
      </c>
      <c r="H277" s="96" t="s">
        <v>12</v>
      </c>
      <c r="I277" s="96" t="s">
        <v>96</v>
      </c>
    </row>
    <row r="278" spans="1:9" ht="13">
      <c r="A278" s="96">
        <v>3</v>
      </c>
      <c r="B278" s="96">
        <v>9</v>
      </c>
      <c r="C278" s="96" t="s">
        <v>909</v>
      </c>
      <c r="D278" s="96">
        <v>2</v>
      </c>
      <c r="E278" s="96" t="str">
        <f t="shared" si="1"/>
        <v>9::Representations – going audiovisual::2::- Describe how colour can be represented as a mixture of red, green, and blue, with a sequence of bits representing each colour’s intensity</v>
      </c>
      <c r="F278" s="96" t="s">
        <v>914</v>
      </c>
      <c r="G278" s="96">
        <v>3.6</v>
      </c>
      <c r="H278" s="96" t="s">
        <v>12</v>
      </c>
      <c r="I278" s="96" t="s">
        <v>96</v>
      </c>
    </row>
    <row r="279" spans="1:9" ht="13">
      <c r="A279" s="96">
        <v>3</v>
      </c>
      <c r="B279" s="96">
        <v>9</v>
      </c>
      <c r="C279" s="96" t="s">
        <v>909</v>
      </c>
      <c r="D279" s="96">
        <v>2</v>
      </c>
      <c r="E279" s="96" t="str">
        <f t="shared" si="1"/>
        <v>9::Representations – going audiovisual::2::- Compute the representation size of a digital image, by multiplying resolution (number of pixels) with colour depth (number of bits used to represent the colour of individual pixels)</v>
      </c>
      <c r="F279" s="96" t="s">
        <v>915</v>
      </c>
      <c r="G279" s="96">
        <v>3.6</v>
      </c>
      <c r="H279" s="96" t="s">
        <v>12</v>
      </c>
      <c r="I279" s="96" t="s">
        <v>96</v>
      </c>
    </row>
    <row r="280" spans="1:9" ht="13">
      <c r="A280" s="96">
        <v>3</v>
      </c>
      <c r="B280" s="96">
        <v>9</v>
      </c>
      <c r="C280" s="96" t="s">
        <v>909</v>
      </c>
      <c r="D280" s="96">
        <v>2</v>
      </c>
      <c r="E280" s="96" t="str">
        <f t="shared" si="1"/>
        <v>9::Representations – going audiovisual::2::- Describe the trade-off between representation size and perceived quality for digital images</v>
      </c>
      <c r="F280" s="96" t="s">
        <v>916</v>
      </c>
      <c r="G280" s="96">
        <v>3.6</v>
      </c>
      <c r="H280" s="96" t="s">
        <v>12</v>
      </c>
      <c r="I280" s="96" t="s">
        <v>96</v>
      </c>
    </row>
    <row r="281" spans="1:9" ht="13">
      <c r="A281" s="96">
        <v>3</v>
      </c>
      <c r="B281" s="96">
        <v>9</v>
      </c>
      <c r="C281" s="96" t="s">
        <v>909</v>
      </c>
      <c r="D281" s="96">
        <v>3</v>
      </c>
      <c r="E281" s="96" t="str">
        <f t="shared" si="1"/>
        <v>9::Representations – going audiovisual::3::- Perform basic image editing tasks using appropriate software and combine them in order to solve more complex problems requiring image manipulation</v>
      </c>
      <c r="F281" s="96" t="s">
        <v>917</v>
      </c>
      <c r="G281" s="96">
        <v>3.6</v>
      </c>
      <c r="H281" s="96" t="s">
        <v>455</v>
      </c>
      <c r="I281" s="96" t="s">
        <v>96</v>
      </c>
    </row>
    <row r="282" spans="1:9" ht="13">
      <c r="A282" s="96">
        <v>3</v>
      </c>
      <c r="B282" s="96">
        <v>9</v>
      </c>
      <c r="C282" s="96" t="s">
        <v>909</v>
      </c>
      <c r="D282" s="96">
        <v>3</v>
      </c>
      <c r="E282" s="96" t="str">
        <f t="shared" si="1"/>
        <v>9::Representations – going audiovisual::3::- Explain how the manipulation of digital images amounts to arithmetic operations on their digital representation</v>
      </c>
      <c r="F282" s="96" t="s">
        <v>918</v>
      </c>
      <c r="G282" s="96">
        <v>3.6</v>
      </c>
      <c r="H282" s="96" t="s">
        <v>206</v>
      </c>
      <c r="I282" s="96" t="s">
        <v>96</v>
      </c>
    </row>
    <row r="283" spans="1:9" ht="13">
      <c r="A283" s="96">
        <v>3</v>
      </c>
      <c r="B283" s="96">
        <v>9</v>
      </c>
      <c r="C283" s="96" t="s">
        <v>909</v>
      </c>
      <c r="D283" s="96">
        <v>3</v>
      </c>
      <c r="E283" s="96" t="str">
        <f t="shared" si="1"/>
        <v>9::Representations – going audiovisual::3::- Describe and assess the creative benefits and ethical drawbacks of digital manipulation [Education for a Connected World](https://www.gov.uk/government/publications/education-for-a-connected-world)</v>
      </c>
      <c r="F283" s="96" t="s">
        <v>919</v>
      </c>
      <c r="G283" s="96">
        <v>3.6</v>
      </c>
      <c r="H283" s="96" t="s">
        <v>920</v>
      </c>
      <c r="I283" s="96" t="s">
        <v>96</v>
      </c>
    </row>
    <row r="284" spans="1:9" ht="13">
      <c r="A284" s="96">
        <v>3</v>
      </c>
      <c r="B284" s="96">
        <v>9</v>
      </c>
      <c r="C284" s="96" t="s">
        <v>909</v>
      </c>
      <c r="D284" s="96">
        <v>4</v>
      </c>
      <c r="E284" s="96" t="str">
        <f t="shared" si="1"/>
        <v>9::Representations – going audiovisual::4::- Recall that sound is a wave</v>
      </c>
      <c r="F284" s="96" t="s">
        <v>921</v>
      </c>
      <c r="G284" s="96">
        <v>3.6</v>
      </c>
      <c r="H284" s="96" t="s">
        <v>12</v>
      </c>
      <c r="I284" s="96" t="s">
        <v>96</v>
      </c>
    </row>
    <row r="285" spans="1:9" ht="13">
      <c r="A285" s="96">
        <v>3</v>
      </c>
      <c r="B285" s="96">
        <v>9</v>
      </c>
      <c r="C285" s="96" t="s">
        <v>909</v>
      </c>
      <c r="D285" s="96">
        <v>4</v>
      </c>
      <c r="E285" s="96" t="str">
        <f t="shared" si="1"/>
        <v>9::Representations – going audiovisual::4::- Explain the function of microphones and speakers as components that capture and generate sound</v>
      </c>
      <c r="F285" s="96" t="s">
        <v>922</v>
      </c>
      <c r="G285" s="96">
        <v>3.6</v>
      </c>
      <c r="H285" s="96" t="s">
        <v>18</v>
      </c>
      <c r="I285" s="96" t="s">
        <v>96</v>
      </c>
    </row>
    <row r="286" spans="1:9" ht="13">
      <c r="A286" s="96">
        <v>3</v>
      </c>
      <c r="B286" s="96">
        <v>9</v>
      </c>
      <c r="C286" s="96" t="s">
        <v>909</v>
      </c>
      <c r="D286" s="96">
        <v>4</v>
      </c>
      <c r="E286" s="96" t="str">
        <f t="shared" si="1"/>
        <v>9::Representations – going audiovisual::4::- Define key terms such as ‘sample’, ‘sampling frequency/rate’, ‘sample size’</v>
      </c>
      <c r="F286" s="96" t="s">
        <v>923</v>
      </c>
      <c r="G286" s="96">
        <v>3.6</v>
      </c>
      <c r="H286" s="96" t="s">
        <v>12</v>
      </c>
      <c r="I286" s="96" t="s">
        <v>96</v>
      </c>
    </row>
    <row r="287" spans="1:9" ht="13">
      <c r="A287" s="96">
        <v>3</v>
      </c>
      <c r="B287" s="96">
        <v>9</v>
      </c>
      <c r="C287" s="96" t="s">
        <v>909</v>
      </c>
      <c r="D287" s="96">
        <v>4</v>
      </c>
      <c r="E287" s="96" t="str">
        <f t="shared" si="1"/>
        <v>9::Representations – going audiovisual::4::- Describe how sounds are represented as sequences of bits</v>
      </c>
      <c r="F287" s="96" t="s">
        <v>924</v>
      </c>
      <c r="G287" s="96">
        <v>3.6</v>
      </c>
      <c r="H287" s="96" t="s">
        <v>12</v>
      </c>
      <c r="I287" s="96" t="s">
        <v>96</v>
      </c>
    </row>
    <row r="288" spans="1:9" ht="13">
      <c r="A288" s="96">
        <v>3</v>
      </c>
      <c r="B288" s="96">
        <v>9</v>
      </c>
      <c r="C288" s="96" t="s">
        <v>909</v>
      </c>
      <c r="D288" s="96">
        <v>5</v>
      </c>
      <c r="E288" s="96" t="str">
        <f t="shared" si="1"/>
        <v>9::Representations – going audiovisual::5::- Calculate representation size for a given digital sound, given its attributes</v>
      </c>
      <c r="F288" s="96" t="s">
        <v>925</v>
      </c>
      <c r="G288" s="96">
        <v>3.6</v>
      </c>
      <c r="H288" s="96" t="s">
        <v>12</v>
      </c>
      <c r="I288" s="96" t="s">
        <v>96</v>
      </c>
    </row>
    <row r="289" spans="1:9" ht="13">
      <c r="A289" s="96">
        <v>3</v>
      </c>
      <c r="B289" s="96">
        <v>9</v>
      </c>
      <c r="C289" s="96" t="s">
        <v>909</v>
      </c>
      <c r="D289" s="96">
        <v>5</v>
      </c>
      <c r="E289" s="96" t="str">
        <f t="shared" si="1"/>
        <v>9::Representations – going audiovisual::5::- Explain how attributes such as sampling frequency and sample size affect characteristics such as representation size and perceived quality, and the trade-offs involved</v>
      </c>
      <c r="F289" s="96" t="s">
        <v>926</v>
      </c>
      <c r="G289" s="96">
        <v>3.6</v>
      </c>
      <c r="H289" s="96" t="s">
        <v>12</v>
      </c>
      <c r="I289" s="96" t="s">
        <v>96</v>
      </c>
    </row>
    <row r="290" spans="1:9" ht="13">
      <c r="A290" s="96">
        <v>3</v>
      </c>
      <c r="B290" s="96">
        <v>9</v>
      </c>
      <c r="C290" s="96" t="s">
        <v>909</v>
      </c>
      <c r="D290" s="96">
        <v>5</v>
      </c>
      <c r="E290" s="96" t="str">
        <f t="shared" si="1"/>
        <v xml:space="preserve">9::Representations – going audiovisual::5::- Perform basic sound editing tasks using appropriate software and combine them in order to solve more complex problems requiring sound manipulation
</v>
      </c>
      <c r="F290" s="96" t="s">
        <v>927</v>
      </c>
      <c r="G290" s="96">
        <v>3.6</v>
      </c>
      <c r="H290" s="96" t="s">
        <v>12</v>
      </c>
      <c r="I290" s="96" t="s">
        <v>96</v>
      </c>
    </row>
    <row r="291" spans="1:9" ht="13">
      <c r="A291" s="96">
        <v>3</v>
      </c>
      <c r="B291" s="96">
        <v>9</v>
      </c>
      <c r="C291" s="96" t="s">
        <v>909</v>
      </c>
      <c r="D291" s="96">
        <v>6</v>
      </c>
      <c r="E291" s="96" t="str">
        <f t="shared" si="1"/>
        <v>9::Representations – going audiovisual::6::- Recall that bitmap images and pulse code sound are not the only binary representations of images and sound available</v>
      </c>
      <c r="F291" s="96" t="s">
        <v>928</v>
      </c>
      <c r="G291" s="96">
        <v>3.6</v>
      </c>
      <c r="H291" s="96" t="s">
        <v>12</v>
      </c>
      <c r="I291" s="96" t="s">
        <v>96</v>
      </c>
    </row>
    <row r="292" spans="1:9" ht="13">
      <c r="A292" s="96">
        <v>3</v>
      </c>
      <c r="B292" s="96">
        <v>9</v>
      </c>
      <c r="C292" s="96" t="s">
        <v>909</v>
      </c>
      <c r="D292" s="96">
        <v>6</v>
      </c>
      <c r="E292" s="96" t="str">
        <f t="shared" si="1"/>
        <v>9::Representations – going audiovisual::6::- Define ‘compression’, and describe why it is necessary</v>
      </c>
      <c r="F292" s="96" t="s">
        <v>929</v>
      </c>
      <c r="G292" s="96">
        <v>3.6</v>
      </c>
      <c r="H292" s="96" t="s">
        <v>12</v>
      </c>
      <c r="I292" s="96"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129"/>
  <sheetViews>
    <sheetView workbookViewId="0"/>
  </sheetViews>
  <sheetFormatPr baseColWidth="10" defaultColWidth="12.6640625" defaultRowHeight="15.75" customHeight="1"/>
  <sheetData>
    <row r="1" spans="1:8" ht="15.75" customHeight="1">
      <c r="A1" s="96" t="s">
        <v>70</v>
      </c>
      <c r="B1" s="96" t="s">
        <v>71</v>
      </c>
      <c r="C1" s="96" t="s">
        <v>72</v>
      </c>
      <c r="D1" s="96"/>
      <c r="E1" s="96" t="s">
        <v>73</v>
      </c>
      <c r="F1" s="96" t="s">
        <v>74</v>
      </c>
      <c r="G1" s="96" t="s">
        <v>74</v>
      </c>
      <c r="H1" s="96" t="s">
        <v>74</v>
      </c>
    </row>
    <row r="2" spans="1:8" ht="15.75" customHeight="1">
      <c r="A2" s="96" t="s">
        <v>930</v>
      </c>
      <c r="B2" s="96" t="s">
        <v>931</v>
      </c>
      <c r="C2" s="96">
        <v>1</v>
      </c>
      <c r="D2" s="96" t="str">
        <f t="shared" ref="D2:D129" si="0">$B2&amp;"::"&amp;$C2&amp;"::"&amp;$E2</f>
        <v>IT and the world of work::1::Examine traditional and modern team working</v>
      </c>
      <c r="E2" s="96" t="s">
        <v>932</v>
      </c>
      <c r="F2" s="96">
        <v>4.0999999999999996</v>
      </c>
      <c r="G2" s="96" t="s">
        <v>933</v>
      </c>
      <c r="H2" s="96" t="s">
        <v>96</v>
      </c>
    </row>
    <row r="3" spans="1:8" ht="15.75" customHeight="1">
      <c r="A3" s="96" t="s">
        <v>930</v>
      </c>
      <c r="B3" s="96" t="s">
        <v>931</v>
      </c>
      <c r="C3" s="96">
        <v>1</v>
      </c>
      <c r="D3" s="96" t="str">
        <f t="shared" si="0"/>
        <v>IT and the world of work::1::Interpret the advantages and disadvantages of 24/7/365 availability</v>
      </c>
      <c r="E3" s="96" t="s">
        <v>934</v>
      </c>
      <c r="F3" s="96">
        <v>4.0999999999999996</v>
      </c>
      <c r="G3" s="96" t="s">
        <v>933</v>
      </c>
      <c r="H3" s="96" t="s">
        <v>96</v>
      </c>
    </row>
    <row r="4" spans="1:8" ht="15.75" customHeight="1">
      <c r="A4" s="96" t="s">
        <v>930</v>
      </c>
      <c r="B4" s="96" t="s">
        <v>931</v>
      </c>
      <c r="C4" s="96">
        <v>1</v>
      </c>
      <c r="D4" s="96" t="str">
        <f t="shared" si="0"/>
        <v>IT and the world of work::1::Compare inclusivity and accessibility within traditional and modern teams</v>
      </c>
      <c r="E4" s="96" t="s">
        <v>935</v>
      </c>
      <c r="F4" s="96">
        <v>4.0999999999999996</v>
      </c>
      <c r="G4" s="96" t="s">
        <v>933</v>
      </c>
      <c r="H4" s="96" t="s">
        <v>96</v>
      </c>
    </row>
    <row r="5" spans="1:8" ht="15.75" customHeight="1">
      <c r="A5" s="96" t="s">
        <v>930</v>
      </c>
      <c r="B5" s="96" t="s">
        <v>931</v>
      </c>
      <c r="C5" s="96">
        <v>2</v>
      </c>
      <c r="D5" s="96" t="str">
        <f t="shared" si="0"/>
        <v>IT and the world of work::2::Examine modern technology tools that assist inclusivity and accessibility</v>
      </c>
      <c r="E5" s="96" t="s">
        <v>936</v>
      </c>
      <c r="F5" s="96">
        <v>4.0999999999999996</v>
      </c>
      <c r="G5" s="96" t="s">
        <v>933</v>
      </c>
      <c r="H5" s="96" t="s">
        <v>96</v>
      </c>
    </row>
    <row r="6" spans="1:8" ht="15.75" customHeight="1">
      <c r="A6" s="96" t="s">
        <v>930</v>
      </c>
      <c r="B6" s="96" t="s">
        <v>931</v>
      </c>
      <c r="C6" s="96">
        <v>2</v>
      </c>
      <c r="D6" s="96" t="str">
        <f t="shared" si="0"/>
        <v>IT and the world of work::2::Explore communication tools</v>
      </c>
      <c r="E6" s="96" t="s">
        <v>937</v>
      </c>
      <c r="F6" s="96">
        <v>4.0999999999999996</v>
      </c>
      <c r="G6" s="96" t="s">
        <v>938</v>
      </c>
      <c r="H6" s="96" t="s">
        <v>96</v>
      </c>
    </row>
    <row r="7" spans="1:8" ht="15.75" customHeight="1">
      <c r="A7" s="96" t="s">
        <v>930</v>
      </c>
      <c r="B7" s="96" t="s">
        <v>931</v>
      </c>
      <c r="C7" s="96">
        <v>2</v>
      </c>
      <c r="D7" s="96" t="str">
        <f t="shared" si="0"/>
        <v>IT and the world of work::2::Evaluate collaborative working</v>
      </c>
      <c r="E7" s="96" t="s">
        <v>939</v>
      </c>
      <c r="F7" s="96">
        <v>4.0999999999999996</v>
      </c>
      <c r="G7" s="96" t="s">
        <v>938</v>
      </c>
      <c r="H7" s="96" t="s">
        <v>96</v>
      </c>
    </row>
    <row r="8" spans="1:8" ht="15.75" customHeight="1">
      <c r="A8" s="96" t="s">
        <v>930</v>
      </c>
      <c r="B8" s="96" t="s">
        <v>931</v>
      </c>
      <c r="C8" s="96">
        <v>3</v>
      </c>
      <c r="D8" s="96" t="str">
        <f t="shared" si="0"/>
        <v>IT and the world of work::3::Recall collaboration and communication platforms</v>
      </c>
      <c r="E8" s="96" t="s">
        <v>940</v>
      </c>
      <c r="F8" s="96">
        <v>4.0999999999999996</v>
      </c>
      <c r="G8" s="96" t="s">
        <v>938</v>
      </c>
      <c r="H8" s="96" t="s">
        <v>96</v>
      </c>
    </row>
    <row r="9" spans="1:8" ht="15.75" customHeight="1">
      <c r="A9" s="96" t="s">
        <v>930</v>
      </c>
      <c r="B9" s="96" t="s">
        <v>931</v>
      </c>
      <c r="C9" s="96">
        <v>3</v>
      </c>
      <c r="D9" s="96" t="str">
        <f t="shared" si="0"/>
        <v>IT and the world of work::3::Evaluate effective online communication</v>
      </c>
      <c r="E9" s="96" t="s">
        <v>941</v>
      </c>
      <c r="F9" s="96">
        <v>4.0999999999999996</v>
      </c>
      <c r="G9" s="96" t="s">
        <v>938</v>
      </c>
      <c r="H9" s="96" t="s">
        <v>96</v>
      </c>
    </row>
    <row r="10" spans="1:8" ht="15.75" customHeight="1">
      <c r="A10" s="96" t="s">
        <v>930</v>
      </c>
      <c r="B10" s="96" t="s">
        <v>931</v>
      </c>
      <c r="C10" s="96">
        <v>3</v>
      </c>
      <c r="D10" s="96" t="str">
        <f t="shared" si="0"/>
        <v>IT and the world of work::3::Formulate a proposal that identifies essential skills for the modern workplace</v>
      </c>
      <c r="E10" s="96" t="s">
        <v>942</v>
      </c>
      <c r="F10" s="96">
        <v>4.0999999999999996</v>
      </c>
      <c r="G10" s="96" t="s">
        <v>938</v>
      </c>
      <c r="H10" s="96" t="s">
        <v>96</v>
      </c>
    </row>
    <row r="11" spans="1:8" ht="15.75" customHeight="1">
      <c r="A11" s="96" t="s">
        <v>930</v>
      </c>
      <c r="B11" s="96" t="s">
        <v>931</v>
      </c>
      <c r="C11" s="96">
        <v>4</v>
      </c>
      <c r="D11" s="96" t="str">
        <f t="shared" si="0"/>
        <v>IT and the world of work::4::Assess the functions and features of cloud computing</v>
      </c>
      <c r="E11" s="96" t="s">
        <v>943</v>
      </c>
      <c r="F11" s="96">
        <v>4.0999999999999996</v>
      </c>
      <c r="G11" s="96" t="s">
        <v>265</v>
      </c>
      <c r="H11" s="96" t="s">
        <v>96</v>
      </c>
    </row>
    <row r="12" spans="1:8" ht="15.75" customHeight="1">
      <c r="A12" s="96" t="s">
        <v>930</v>
      </c>
      <c r="B12" s="96" t="s">
        <v>931</v>
      </c>
      <c r="C12" s="96">
        <v>4</v>
      </c>
      <c r="D12" s="96" t="str">
        <f t="shared" si="0"/>
        <v>IT and the world of work::4::Justify the selection of communication platforms</v>
      </c>
      <c r="E12" s="96" t="s">
        <v>944</v>
      </c>
      <c r="F12" s="96">
        <v>4.0999999999999996</v>
      </c>
      <c r="G12" s="96" t="s">
        <v>938</v>
      </c>
      <c r="H12" s="96" t="s">
        <v>96</v>
      </c>
    </row>
    <row r="13" spans="1:8" ht="15.75" customHeight="1">
      <c r="A13" s="96" t="s">
        <v>930</v>
      </c>
      <c r="B13" s="96" t="s">
        <v>931</v>
      </c>
      <c r="C13" s="96">
        <v>4</v>
      </c>
      <c r="D13" s="96" t="str">
        <f t="shared" si="0"/>
        <v>IT and the world of work::4::Evaluate the security of using the cloud for storage and document/data creation</v>
      </c>
      <c r="E13" s="96" t="s">
        <v>945</v>
      </c>
      <c r="F13" s="96">
        <v>4.0999999999999996</v>
      </c>
      <c r="G13" s="96" t="s">
        <v>170</v>
      </c>
      <c r="H13" s="96" t="s">
        <v>96</v>
      </c>
    </row>
    <row r="14" spans="1:8" ht="15.75" customHeight="1">
      <c r="A14" s="96" t="s">
        <v>930</v>
      </c>
      <c r="B14" s="96" t="s">
        <v>931</v>
      </c>
      <c r="C14" s="96">
        <v>5</v>
      </c>
      <c r="D14" s="96" t="str">
        <f t="shared" si="0"/>
        <v>IT and the world of work::5::Recognise methods of creating a network when mobile or remote working</v>
      </c>
      <c r="E14" s="96" t="s">
        <v>946</v>
      </c>
      <c r="F14" s="96">
        <v>4.0999999999999996</v>
      </c>
      <c r="G14" s="96" t="s">
        <v>6</v>
      </c>
      <c r="H14" s="96" t="s">
        <v>96</v>
      </c>
    </row>
    <row r="15" spans="1:8" ht="15.75" customHeight="1">
      <c r="A15" s="96" t="s">
        <v>930</v>
      </c>
      <c r="B15" s="96" t="s">
        <v>931</v>
      </c>
      <c r="C15" s="96">
        <v>5</v>
      </c>
      <c r="D15" s="96" t="str">
        <f t="shared" si="0"/>
        <v>IT and the world of work::5::Evaluate the advantages and disadvantages of ad hoc networks</v>
      </c>
      <c r="E15" s="96" t="s">
        <v>947</v>
      </c>
      <c r="F15" s="96">
        <v>4.0999999999999996</v>
      </c>
      <c r="G15" s="96" t="s">
        <v>6</v>
      </c>
      <c r="H15" s="96" t="s">
        <v>96</v>
      </c>
    </row>
    <row r="16" spans="1:8" ht="15.75" customHeight="1">
      <c r="A16" s="96" t="s">
        <v>930</v>
      </c>
      <c r="B16" s="96" t="s">
        <v>931</v>
      </c>
      <c r="C16" s="96">
        <v>5</v>
      </c>
      <c r="D16" s="96" t="str">
        <f t="shared" si="0"/>
        <v>IT and the world of work::5::Judge the security of ad hoc networks</v>
      </c>
      <c r="E16" s="96" t="s">
        <v>948</v>
      </c>
      <c r="F16" s="96">
        <v>4.0999999999999996</v>
      </c>
      <c r="G16" s="96" t="s">
        <v>6</v>
      </c>
      <c r="H16" s="96" t="s">
        <v>96</v>
      </c>
    </row>
    <row r="17" spans="1:8" ht="15.75" customHeight="1">
      <c r="A17" s="96" t="s">
        <v>930</v>
      </c>
      <c r="B17" s="96" t="s">
        <v>931</v>
      </c>
      <c r="C17" s="96">
        <v>6</v>
      </c>
      <c r="D17" s="96" t="str">
        <f t="shared" si="0"/>
        <v>IT and the world of work::6::Evaluate the impact of mental well-being on individuals</v>
      </c>
      <c r="E17" s="96" t="s">
        <v>949</v>
      </c>
      <c r="F17" s="96">
        <v>4.0999999999999996</v>
      </c>
      <c r="G17" s="96" t="s">
        <v>938</v>
      </c>
      <c r="H17" s="96" t="s">
        <v>96</v>
      </c>
    </row>
    <row r="18" spans="1:8" ht="15.75" customHeight="1">
      <c r="A18" s="96" t="s">
        <v>930</v>
      </c>
      <c r="B18" s="96" t="s">
        <v>931</v>
      </c>
      <c r="C18" s="96">
        <v>6</v>
      </c>
      <c r="D18" s="96" t="str">
        <f t="shared" si="0"/>
        <v>IT and the world of work::6::Evaluate the impact of physical well-being on individuals</v>
      </c>
      <c r="E18" s="96" t="s">
        <v>950</v>
      </c>
      <c r="F18" s="96">
        <v>4.0999999999999996</v>
      </c>
      <c r="G18" s="96" t="s">
        <v>938</v>
      </c>
      <c r="H18" s="96" t="s">
        <v>96</v>
      </c>
    </row>
    <row r="19" spans="1:8" ht="15.75" customHeight="1">
      <c r="A19" s="96" t="s">
        <v>930</v>
      </c>
      <c r="B19" s="96" t="s">
        <v>931</v>
      </c>
      <c r="C19" s="96">
        <v>6</v>
      </c>
      <c r="D19" s="96" t="str">
        <f t="shared" si="0"/>
        <v>IT and the world of work::6::Create a positive working environment</v>
      </c>
      <c r="E19" s="96" t="s">
        <v>951</v>
      </c>
      <c r="F19" s="96">
        <v>4.0999999999999996</v>
      </c>
      <c r="G19" s="96" t="s">
        <v>938</v>
      </c>
      <c r="H19" s="96" t="s">
        <v>96</v>
      </c>
    </row>
    <row r="20" spans="1:8" ht="15.75" customHeight="1">
      <c r="A20" s="96" t="s">
        <v>930</v>
      </c>
      <c r="B20" s="96" t="s">
        <v>952</v>
      </c>
      <c r="C20" s="96">
        <v>1</v>
      </c>
      <c r="D20" s="96" t="str">
        <f t="shared" si="0"/>
        <v>IT project management::1::Define the term project management</v>
      </c>
      <c r="E20" s="96" t="s">
        <v>953</v>
      </c>
      <c r="F20" s="96" t="s">
        <v>954</v>
      </c>
      <c r="G20" s="96" t="s">
        <v>15</v>
      </c>
      <c r="H20" s="96" t="s">
        <v>96</v>
      </c>
    </row>
    <row r="21" spans="1:8" ht="15.75" customHeight="1">
      <c r="A21" s="96" t="s">
        <v>930</v>
      </c>
      <c r="B21" s="96" t="s">
        <v>952</v>
      </c>
      <c r="C21" s="96">
        <v>1</v>
      </c>
      <c r="D21" s="96" t="str">
        <f t="shared" si="0"/>
        <v>IT project management::1::Identify why the use of project management is important</v>
      </c>
      <c r="E21" s="96" t="s">
        <v>955</v>
      </c>
      <c r="F21" s="96" t="s">
        <v>954</v>
      </c>
      <c r="G21" s="96" t="s">
        <v>15</v>
      </c>
      <c r="H21" s="96" t="s">
        <v>96</v>
      </c>
    </row>
    <row r="22" spans="1:8" ht="15.75" customHeight="1">
      <c r="A22" s="96" t="s">
        <v>930</v>
      </c>
      <c r="B22" s="96" t="s">
        <v>952</v>
      </c>
      <c r="C22" s="96">
        <v>1</v>
      </c>
      <c r="D22" s="96" t="str">
        <f t="shared" si="0"/>
        <v>IT project management::1::Select appropriate project management methodologies</v>
      </c>
      <c r="E22" s="96" t="s">
        <v>956</v>
      </c>
      <c r="F22" s="96" t="s">
        <v>954</v>
      </c>
      <c r="G22" s="96" t="s">
        <v>15</v>
      </c>
      <c r="H22" s="96" t="s">
        <v>96</v>
      </c>
    </row>
    <row r="23" spans="1:8" ht="15.75" customHeight="1">
      <c r="A23" s="96" t="s">
        <v>930</v>
      </c>
      <c r="B23" s="96" t="s">
        <v>952</v>
      </c>
      <c r="C23" s="96">
        <v>2</v>
      </c>
      <c r="D23" s="96" t="str">
        <f t="shared" si="0"/>
        <v>IT project management::2::Analyse a project brief</v>
      </c>
      <c r="E23" s="96" t="s">
        <v>957</v>
      </c>
      <c r="F23" s="96" t="s">
        <v>954</v>
      </c>
      <c r="G23" s="96" t="s">
        <v>15</v>
      </c>
      <c r="H23" s="96" t="s">
        <v>96</v>
      </c>
    </row>
    <row r="24" spans="1:8" ht="15.75" customHeight="1">
      <c r="A24" s="96" t="s">
        <v>930</v>
      </c>
      <c r="B24" s="96" t="s">
        <v>952</v>
      </c>
      <c r="C24" s="96">
        <v>2</v>
      </c>
      <c r="D24" s="96" t="str">
        <f t="shared" si="0"/>
        <v>IT project management::2::Identify the user requirements of a project</v>
      </c>
      <c r="E24" s="96" t="s">
        <v>958</v>
      </c>
      <c r="F24" s="96" t="s">
        <v>954</v>
      </c>
      <c r="G24" s="96" t="s">
        <v>15</v>
      </c>
      <c r="H24" s="96" t="s">
        <v>96</v>
      </c>
    </row>
    <row r="25" spans="1:8" ht="15.75" customHeight="1">
      <c r="A25" s="96" t="s">
        <v>930</v>
      </c>
      <c r="B25" s="96" t="s">
        <v>952</v>
      </c>
      <c r="C25" s="96">
        <v>2</v>
      </c>
      <c r="D25" s="96" t="str">
        <f t="shared" si="0"/>
        <v>IT project management::2::Evaluate the constraints of a project</v>
      </c>
      <c r="E25" s="96" t="s">
        <v>959</v>
      </c>
      <c r="F25" s="96" t="s">
        <v>954</v>
      </c>
      <c r="G25" s="96" t="s">
        <v>15</v>
      </c>
      <c r="H25" s="96" t="s">
        <v>96</v>
      </c>
    </row>
    <row r="26" spans="1:8" ht="15.75" customHeight="1">
      <c r="A26" s="96" t="s">
        <v>930</v>
      </c>
      <c r="B26" s="96" t="s">
        <v>952</v>
      </c>
      <c r="C26" s="96">
        <v>3</v>
      </c>
      <c r="D26" s="96" t="str">
        <f t="shared" si="0"/>
        <v>IT project management::3::Identify objectives relating to a project</v>
      </c>
      <c r="E26" s="96" t="s">
        <v>960</v>
      </c>
      <c r="F26" s="96" t="s">
        <v>954</v>
      </c>
      <c r="G26" s="96" t="s">
        <v>15</v>
      </c>
      <c r="H26" s="96" t="s">
        <v>96</v>
      </c>
    </row>
    <row r="27" spans="1:8" ht="15.75" customHeight="1">
      <c r="A27" s="96" t="s">
        <v>930</v>
      </c>
      <c r="B27" s="96" t="s">
        <v>952</v>
      </c>
      <c r="C27" s="96">
        <v>3</v>
      </c>
      <c r="D27" s="96" t="str">
        <f t="shared" si="0"/>
        <v>IT project management::3::Develop objectives into SMART goals</v>
      </c>
      <c r="E27" s="96" t="s">
        <v>961</v>
      </c>
      <c r="F27" s="96" t="s">
        <v>954</v>
      </c>
      <c r="G27" s="96" t="s">
        <v>15</v>
      </c>
      <c r="H27" s="96" t="s">
        <v>96</v>
      </c>
    </row>
    <row r="28" spans="1:8" ht="15.75" customHeight="1">
      <c r="A28" s="96" t="s">
        <v>930</v>
      </c>
      <c r="B28" s="96" t="s">
        <v>952</v>
      </c>
      <c r="C28" s="96">
        <v>3</v>
      </c>
      <c r="D28" s="96" t="str">
        <f t="shared" si="0"/>
        <v>IT project management::3::Define ‘iteration’ and ‘interaction’</v>
      </c>
      <c r="E28" s="96" t="s">
        <v>962</v>
      </c>
      <c r="F28" s="96" t="s">
        <v>954</v>
      </c>
      <c r="G28" s="96" t="s">
        <v>15</v>
      </c>
      <c r="H28" s="96" t="s">
        <v>96</v>
      </c>
    </row>
    <row r="29" spans="1:8" ht="15.75" customHeight="1">
      <c r="A29" s="96" t="s">
        <v>930</v>
      </c>
      <c r="B29" s="96" t="s">
        <v>952</v>
      </c>
      <c r="C29" s="96">
        <v>4</v>
      </c>
      <c r="D29" s="96" t="str">
        <f t="shared" si="0"/>
        <v>IT project management::4::Create a Gantt chart</v>
      </c>
      <c r="E29" s="96" t="s">
        <v>963</v>
      </c>
      <c r="F29" s="96" t="s">
        <v>954</v>
      </c>
      <c r="G29" s="96" t="s">
        <v>694</v>
      </c>
      <c r="H29" s="96" t="s">
        <v>96</v>
      </c>
    </row>
    <row r="30" spans="1:8" ht="15.75" customHeight="1">
      <c r="A30" s="96" t="s">
        <v>930</v>
      </c>
      <c r="B30" s="96" t="s">
        <v>952</v>
      </c>
      <c r="C30" s="96">
        <v>4</v>
      </c>
      <c r="D30" s="96" t="str">
        <f t="shared" si="0"/>
        <v>IT project management::4::Create a PERT chart</v>
      </c>
      <c r="E30" s="96" t="s">
        <v>964</v>
      </c>
      <c r="F30" s="96" t="s">
        <v>954</v>
      </c>
      <c r="G30" s="96" t="s">
        <v>694</v>
      </c>
      <c r="H30" s="96" t="s">
        <v>96</v>
      </c>
    </row>
    <row r="31" spans="1:8" ht="15.75" customHeight="1">
      <c r="A31" s="96" t="s">
        <v>930</v>
      </c>
      <c r="B31" s="96" t="s">
        <v>952</v>
      </c>
      <c r="C31" s="96">
        <v>4</v>
      </c>
      <c r="D31" s="96" t="str">
        <f t="shared" si="0"/>
        <v>IT project management::4::Evaluate planning tools</v>
      </c>
      <c r="E31" s="96" t="s">
        <v>965</v>
      </c>
      <c r="F31" s="96" t="s">
        <v>954</v>
      </c>
      <c r="G31" s="96" t="s">
        <v>15</v>
      </c>
      <c r="H31" s="96" t="s">
        <v>96</v>
      </c>
    </row>
    <row r="32" spans="1:8" ht="15.75" customHeight="1">
      <c r="A32" s="96" t="s">
        <v>930</v>
      </c>
      <c r="B32" s="96" t="s">
        <v>952</v>
      </c>
      <c r="C32" s="96">
        <v>5</v>
      </c>
      <c r="D32" s="96" t="str">
        <f t="shared" si="0"/>
        <v>IT project management::5::Create an appropriate spreadsheet for a project</v>
      </c>
      <c r="E32" s="96" t="s">
        <v>966</v>
      </c>
      <c r="F32" s="96" t="s">
        <v>954</v>
      </c>
      <c r="G32" s="96" t="s">
        <v>308</v>
      </c>
      <c r="H32" s="96" t="s">
        <v>96</v>
      </c>
    </row>
    <row r="33" spans="1:8" ht="15.75" customHeight="1">
      <c r="A33" s="96" t="s">
        <v>930</v>
      </c>
      <c r="B33" s="96" t="s">
        <v>952</v>
      </c>
      <c r="C33" s="96">
        <v>5</v>
      </c>
      <c r="D33" s="96" t="str">
        <f t="shared" si="0"/>
        <v>IT project management::5::Evaluate a spreadsheet</v>
      </c>
      <c r="E33" s="96" t="s">
        <v>967</v>
      </c>
      <c r="F33" s="96" t="s">
        <v>954</v>
      </c>
      <c r="G33" s="96" t="s">
        <v>694</v>
      </c>
      <c r="H33" s="96" t="s">
        <v>96</v>
      </c>
    </row>
    <row r="34" spans="1:8" ht="15.75" customHeight="1">
      <c r="A34" s="96" t="s">
        <v>930</v>
      </c>
      <c r="B34" s="96" t="s">
        <v>952</v>
      </c>
      <c r="C34" s="96">
        <v>6</v>
      </c>
      <c r="D34" s="96" t="str">
        <f t="shared" si="0"/>
        <v>IT project management::6::Follow a design plan</v>
      </c>
      <c r="E34" s="96" t="s">
        <v>968</v>
      </c>
      <c r="F34" s="96" t="s">
        <v>954</v>
      </c>
      <c r="G34" s="96" t="s">
        <v>15</v>
      </c>
      <c r="H34" s="96" t="s">
        <v>96</v>
      </c>
    </row>
    <row r="35" spans="1:8" ht="15.75" customHeight="1">
      <c r="A35" s="96" t="s">
        <v>930</v>
      </c>
      <c r="B35" s="96" t="s">
        <v>952</v>
      </c>
      <c r="C35" s="96">
        <v>6</v>
      </c>
      <c r="D35" s="96" t="str">
        <f t="shared" si="0"/>
        <v>IT project management::6::Create visual media</v>
      </c>
      <c r="E35" s="96" t="s">
        <v>969</v>
      </c>
      <c r="F35" s="96" t="s">
        <v>954</v>
      </c>
      <c r="G35" s="96" t="s">
        <v>192</v>
      </c>
      <c r="H35" s="96" t="s">
        <v>96</v>
      </c>
    </row>
    <row r="36" spans="1:8" ht="15.75" customHeight="1">
      <c r="A36" s="96" t="s">
        <v>930</v>
      </c>
      <c r="B36" s="96" t="s">
        <v>952</v>
      </c>
      <c r="C36" s="96">
        <v>6</v>
      </c>
      <c r="D36" s="96" t="str">
        <f t="shared" si="0"/>
        <v>IT project management::6::Assess the effectiveness of planning for the visual elements of a project</v>
      </c>
      <c r="E36" s="96" t="s">
        <v>970</v>
      </c>
      <c r="F36" s="96" t="s">
        <v>954</v>
      </c>
      <c r="G36" s="96" t="s">
        <v>192</v>
      </c>
      <c r="H36" s="96" t="s">
        <v>96</v>
      </c>
    </row>
    <row r="37" spans="1:8" ht="15.75" customHeight="1">
      <c r="A37" s="96" t="s">
        <v>930</v>
      </c>
      <c r="B37" s="96" t="s">
        <v>952</v>
      </c>
      <c r="C37" s="96">
        <v>7</v>
      </c>
      <c r="D37" s="96" t="str">
        <f t="shared" si="0"/>
        <v>IT project management::7::Evaluate the overall success of a completed project</v>
      </c>
      <c r="E37" s="96" t="s">
        <v>971</v>
      </c>
      <c r="F37" s="96" t="s">
        <v>954</v>
      </c>
      <c r="G37" s="96" t="s">
        <v>15</v>
      </c>
      <c r="H37" s="96" t="s">
        <v>96</v>
      </c>
    </row>
    <row r="38" spans="1:8" ht="15.75" customHeight="1">
      <c r="A38" s="96" t="s">
        <v>930</v>
      </c>
      <c r="B38" s="96" t="s">
        <v>952</v>
      </c>
      <c r="C38" s="96">
        <v>7</v>
      </c>
      <c r="D38" s="96" t="str">
        <f t="shared" si="0"/>
        <v>IT project management::7::Test the effectiveness of developed products</v>
      </c>
      <c r="E38" s="96" t="s">
        <v>972</v>
      </c>
      <c r="F38" s="96" t="s">
        <v>954</v>
      </c>
      <c r="G38" s="96" t="s">
        <v>15</v>
      </c>
      <c r="H38" s="96" t="s">
        <v>96</v>
      </c>
    </row>
    <row r="39" spans="1:8" ht="15.75" customHeight="1">
      <c r="A39" s="96" t="s">
        <v>930</v>
      </c>
      <c r="B39" s="96" t="s">
        <v>952</v>
      </c>
      <c r="C39" s="96">
        <v>8</v>
      </c>
      <c r="D39" s="96" t="str">
        <f t="shared" si="0"/>
        <v>IT project management::8::Identify the user requirements of a project</v>
      </c>
      <c r="E39" s="96" t="s">
        <v>958</v>
      </c>
      <c r="F39" s="96" t="s">
        <v>954</v>
      </c>
      <c r="G39" s="96" t="s">
        <v>15</v>
      </c>
      <c r="H39" s="96" t="s">
        <v>96</v>
      </c>
    </row>
    <row r="40" spans="1:8" ht="15.75" customHeight="1">
      <c r="A40" s="96" t="s">
        <v>930</v>
      </c>
      <c r="B40" s="96" t="s">
        <v>952</v>
      </c>
      <c r="C40" s="96">
        <v>8</v>
      </c>
      <c r="D40" s="96" t="str">
        <f t="shared" si="0"/>
        <v>IT project management::8::Evaluate the constraints of a project</v>
      </c>
      <c r="E40" s="96" t="s">
        <v>959</v>
      </c>
      <c r="F40" s="96" t="s">
        <v>954</v>
      </c>
      <c r="G40" s="96" t="s">
        <v>15</v>
      </c>
      <c r="H40" s="96" t="s">
        <v>96</v>
      </c>
    </row>
    <row r="41" spans="1:8" ht="15.75" customHeight="1">
      <c r="A41" s="96" t="s">
        <v>930</v>
      </c>
      <c r="B41" s="96" t="s">
        <v>952</v>
      </c>
      <c r="C41" s="96">
        <v>8</v>
      </c>
      <c r="D41" s="96" t="str">
        <f t="shared" si="0"/>
        <v>IT project management::8::Develop documentation for the first stage of a project</v>
      </c>
      <c r="E41" s="96" t="s">
        <v>973</v>
      </c>
      <c r="F41" s="96" t="s">
        <v>954</v>
      </c>
      <c r="G41" s="96" t="s">
        <v>15</v>
      </c>
      <c r="H41" s="96" t="s">
        <v>96</v>
      </c>
    </row>
    <row r="42" spans="1:8" ht="15.75" customHeight="1">
      <c r="A42" s="96" t="s">
        <v>930</v>
      </c>
      <c r="B42" s="96" t="s">
        <v>952</v>
      </c>
      <c r="C42" s="96">
        <v>9</v>
      </c>
      <c r="D42" s="96" t="str">
        <f t="shared" si="0"/>
        <v>IT project management::9::Create planning documents for a project</v>
      </c>
      <c r="E42" s="96" t="s">
        <v>974</v>
      </c>
      <c r="F42" s="96" t="s">
        <v>954</v>
      </c>
      <c r="G42" s="96" t="s">
        <v>15</v>
      </c>
      <c r="H42" s="96" t="s">
        <v>96</v>
      </c>
    </row>
    <row r="43" spans="1:8" ht="15.75" customHeight="1">
      <c r="A43" s="96" t="s">
        <v>930</v>
      </c>
      <c r="B43" s="96" t="s">
        <v>952</v>
      </c>
      <c r="C43" s="96">
        <v>9</v>
      </c>
      <c r="D43" s="96" t="str">
        <f t="shared" si="0"/>
        <v>IT project management::9::Create project products</v>
      </c>
      <c r="E43" s="96" t="s">
        <v>975</v>
      </c>
      <c r="F43" s="96" t="s">
        <v>954</v>
      </c>
      <c r="G43" s="96" t="s">
        <v>15</v>
      </c>
      <c r="H43" s="96" t="s">
        <v>96</v>
      </c>
    </row>
    <row r="44" spans="1:8" ht="15.75" customHeight="1">
      <c r="A44" s="96" t="s">
        <v>930</v>
      </c>
      <c r="B44" s="96" t="s">
        <v>952</v>
      </c>
      <c r="C44" s="96">
        <v>9</v>
      </c>
      <c r="D44" s="96" t="str">
        <f t="shared" si="0"/>
        <v>IT project management::9::Develop testing documentation</v>
      </c>
      <c r="E44" s="96" t="s">
        <v>976</v>
      </c>
      <c r="F44" s="96" t="s">
        <v>954</v>
      </c>
      <c r="G44" s="96" t="s">
        <v>15</v>
      </c>
      <c r="H44" s="96" t="s">
        <v>96</v>
      </c>
    </row>
    <row r="45" spans="1:8" ht="15.75" customHeight="1">
      <c r="A45" s="96" t="s">
        <v>930</v>
      </c>
      <c r="B45" s="96" t="s">
        <v>952</v>
      </c>
      <c r="C45" s="96">
        <v>10</v>
      </c>
      <c r="D45" s="96" t="str">
        <f t="shared" si="0"/>
        <v>IT project management::10::Evaluate a completed project</v>
      </c>
      <c r="E45" s="96" t="s">
        <v>977</v>
      </c>
      <c r="F45" s="96" t="s">
        <v>954</v>
      </c>
      <c r="G45" s="96" t="s">
        <v>15</v>
      </c>
      <c r="H45" s="96" t="s">
        <v>96</v>
      </c>
    </row>
    <row r="46" spans="1:8" ht="15.75" customHeight="1">
      <c r="A46" s="96" t="s">
        <v>930</v>
      </c>
      <c r="B46" s="96" t="s">
        <v>978</v>
      </c>
      <c r="C46" s="96">
        <v>1</v>
      </c>
      <c r="D46" s="96" t="str">
        <f t="shared" si="0"/>
        <v>Media::1::Describe the term ‘pre-production’</v>
      </c>
      <c r="E46" s="96" t="s">
        <v>979</v>
      </c>
      <c r="F46" s="96">
        <v>4.0999999999999996</v>
      </c>
      <c r="G46" s="96" t="s">
        <v>15</v>
      </c>
      <c r="H46" s="96" t="s">
        <v>96</v>
      </c>
    </row>
    <row r="47" spans="1:8" ht="15.75" customHeight="1">
      <c r="A47" s="96" t="s">
        <v>930</v>
      </c>
      <c r="B47" s="96" t="s">
        <v>978</v>
      </c>
      <c r="C47" s="96">
        <v>1</v>
      </c>
      <c r="D47" s="96" t="str">
        <f t="shared" si="0"/>
        <v>Media::1::Compare planning tools available for pre-production</v>
      </c>
      <c r="E47" s="96" t="s">
        <v>980</v>
      </c>
      <c r="F47" s="96">
        <v>4.0999999999999996</v>
      </c>
      <c r="G47" s="96" t="s">
        <v>694</v>
      </c>
      <c r="H47" s="96" t="s">
        <v>96</v>
      </c>
    </row>
    <row r="48" spans="1:8" ht="13">
      <c r="A48" s="96" t="s">
        <v>930</v>
      </c>
      <c r="B48" s="96" t="s">
        <v>978</v>
      </c>
      <c r="C48" s="96">
        <v>1</v>
      </c>
      <c r="D48" s="96" t="str">
        <f t="shared" si="0"/>
        <v>Media::1::Create pre-production planning materials</v>
      </c>
      <c r="E48" s="96" t="s">
        <v>981</v>
      </c>
      <c r="F48" s="96">
        <v>4.0999999999999996</v>
      </c>
      <c r="G48" s="96" t="s">
        <v>15</v>
      </c>
      <c r="H48" s="96" t="s">
        <v>96</v>
      </c>
    </row>
    <row r="49" spans="1:8" ht="13">
      <c r="A49" s="96" t="s">
        <v>930</v>
      </c>
      <c r="B49" s="96" t="s">
        <v>978</v>
      </c>
      <c r="C49" s="96">
        <v>2</v>
      </c>
      <c r="D49" s="96" t="str">
        <f t="shared" si="0"/>
        <v>Media::2::Describe the two main types of digital graphics: raster and vector</v>
      </c>
      <c r="E49" s="96" t="s">
        <v>982</v>
      </c>
      <c r="F49" s="96">
        <v>4.0999999999999996</v>
      </c>
      <c r="G49" s="96" t="s">
        <v>206</v>
      </c>
      <c r="H49" s="96" t="s">
        <v>96</v>
      </c>
    </row>
    <row r="50" spans="1:8" ht="13">
      <c r="A50" s="96" t="s">
        <v>930</v>
      </c>
      <c r="B50" s="96" t="s">
        <v>978</v>
      </c>
      <c r="C50" s="96">
        <v>2</v>
      </c>
      <c r="D50" s="96" t="str">
        <f t="shared" si="0"/>
        <v>Media::2::Name associated file formats for types of digital graphics</v>
      </c>
      <c r="E50" s="96" t="s">
        <v>983</v>
      </c>
      <c r="F50" s="96">
        <v>4.0999999999999996</v>
      </c>
      <c r="G50" s="96" t="s">
        <v>9</v>
      </c>
      <c r="H50" s="96" t="s">
        <v>96</v>
      </c>
    </row>
    <row r="51" spans="1:8" ht="13">
      <c r="A51" s="96" t="s">
        <v>930</v>
      </c>
      <c r="B51" s="96" t="s">
        <v>978</v>
      </c>
      <c r="C51" s="96">
        <v>2</v>
      </c>
      <c r="D51" s="96" t="str">
        <f t="shared" si="0"/>
        <v>Media::2::Utilise open source software to create both types of digital graphics</v>
      </c>
      <c r="E51" s="96" t="s">
        <v>984</v>
      </c>
      <c r="F51" s="96">
        <v>4.0999999999999996</v>
      </c>
      <c r="G51" s="96" t="s">
        <v>95</v>
      </c>
      <c r="H51" s="96" t="s">
        <v>96</v>
      </c>
    </row>
    <row r="52" spans="1:8" ht="13">
      <c r="A52" s="96" t="s">
        <v>930</v>
      </c>
      <c r="B52" s="96" t="s">
        <v>978</v>
      </c>
      <c r="C52" s="96">
        <v>2</v>
      </c>
      <c r="D52" s="96" t="str">
        <f t="shared" si="0"/>
        <v>Media::2::Identify the resources required for creating digital graphics</v>
      </c>
      <c r="E52" s="96" t="s">
        <v>985</v>
      </c>
      <c r="F52" s="96">
        <v>4.0999999999999996</v>
      </c>
      <c r="G52" s="96" t="s">
        <v>95</v>
      </c>
      <c r="H52" s="96" t="s">
        <v>96</v>
      </c>
    </row>
    <row r="53" spans="1:8" ht="13">
      <c r="A53" s="96" t="s">
        <v>930</v>
      </c>
      <c r="B53" s="96" t="s">
        <v>978</v>
      </c>
      <c r="C53" s="96">
        <v>2</v>
      </c>
      <c r="D53" s="96" t="str">
        <f t="shared" si="0"/>
        <v>Media::2::Recognise the legislation regarding use of digital graphics</v>
      </c>
      <c r="E53" s="96" t="s">
        <v>986</v>
      </c>
      <c r="F53" s="96">
        <v>4.0999999999999996</v>
      </c>
      <c r="G53" s="96" t="s">
        <v>473</v>
      </c>
      <c r="H53" s="96" t="s">
        <v>96</v>
      </c>
    </row>
    <row r="54" spans="1:8" ht="13">
      <c r="A54" s="96" t="s">
        <v>930</v>
      </c>
      <c r="B54" s="96" t="s">
        <v>978</v>
      </c>
      <c r="C54" s="96">
        <v>3</v>
      </c>
      <c r="D54" s="96" t="str">
        <f t="shared" si="0"/>
        <v>Media::3::Name the different camera angles used in video production</v>
      </c>
      <c r="E54" s="96" t="s">
        <v>987</v>
      </c>
      <c r="F54" s="96">
        <v>4.0999999999999996</v>
      </c>
      <c r="G54" s="96" t="s">
        <v>9</v>
      </c>
      <c r="H54" s="96" t="s">
        <v>96</v>
      </c>
    </row>
    <row r="55" spans="1:8" ht="13">
      <c r="A55" s="96" t="s">
        <v>930</v>
      </c>
      <c r="B55" s="96" t="s">
        <v>978</v>
      </c>
      <c r="C55" s="96">
        <v>3</v>
      </c>
      <c r="D55" s="96" t="str">
        <f t="shared" si="0"/>
        <v>Media::3::Recognise different file formats and properties of digital video</v>
      </c>
      <c r="E55" s="96" t="s">
        <v>988</v>
      </c>
      <c r="F55" s="96">
        <v>4.0999999999999996</v>
      </c>
      <c r="G55" s="96" t="s">
        <v>9</v>
      </c>
      <c r="H55" s="96" t="s">
        <v>96</v>
      </c>
    </row>
    <row r="56" spans="1:8" ht="13">
      <c r="A56" s="96" t="s">
        <v>930</v>
      </c>
      <c r="B56" s="96" t="s">
        <v>978</v>
      </c>
      <c r="C56" s="96">
        <v>3</v>
      </c>
      <c r="D56" s="96" t="str">
        <f t="shared" si="0"/>
        <v>Media::3::Utilise the software required for digital video creation</v>
      </c>
      <c r="E56" s="96" t="s">
        <v>989</v>
      </c>
      <c r="F56" s="96">
        <v>4.0999999999999996</v>
      </c>
      <c r="G56" s="96" t="s">
        <v>95</v>
      </c>
      <c r="H56" s="96" t="s">
        <v>96</v>
      </c>
    </row>
    <row r="57" spans="1:8" ht="13">
      <c r="A57" s="96" t="s">
        <v>930</v>
      </c>
      <c r="B57" s="96" t="s">
        <v>978</v>
      </c>
      <c r="C57" s="96">
        <v>4</v>
      </c>
      <c r="D57" s="96" t="str">
        <f t="shared" si="0"/>
        <v>Media::4::Discuss the features and properties of websites</v>
      </c>
      <c r="E57" s="96" t="s">
        <v>990</v>
      </c>
      <c r="F57" s="96">
        <v>4.0999999999999996</v>
      </c>
      <c r="G57" s="96" t="s">
        <v>355</v>
      </c>
      <c r="H57" s="96" t="s">
        <v>96</v>
      </c>
    </row>
    <row r="58" spans="1:8" ht="13">
      <c r="A58" s="96" t="s">
        <v>930</v>
      </c>
      <c r="B58" s="96" t="s">
        <v>978</v>
      </c>
      <c r="C58" s="96">
        <v>4</v>
      </c>
      <c r="D58" s="96" t="str">
        <f t="shared" si="0"/>
        <v>Media::4::Plan a multi-page website</v>
      </c>
      <c r="E58" s="96" t="s">
        <v>991</v>
      </c>
      <c r="F58" s="96">
        <v>4.0999999999999996</v>
      </c>
      <c r="G58" s="96" t="s">
        <v>552</v>
      </c>
      <c r="H58" s="96" t="s">
        <v>96</v>
      </c>
    </row>
    <row r="59" spans="1:8" ht="13">
      <c r="A59" s="96" t="s">
        <v>930</v>
      </c>
      <c r="B59" s="96" t="s">
        <v>978</v>
      </c>
      <c r="C59" s="96">
        <v>4</v>
      </c>
      <c r="D59" s="96" t="str">
        <f t="shared" si="0"/>
        <v>Media::4::Create a multi-page website using open source tools</v>
      </c>
      <c r="E59" s="96" t="s">
        <v>992</v>
      </c>
      <c r="F59" s="96">
        <v>4.0999999999999996</v>
      </c>
      <c r="G59" s="96" t="s">
        <v>562</v>
      </c>
      <c r="H59" s="96" t="s">
        <v>96</v>
      </c>
    </row>
    <row r="60" spans="1:8" ht="13">
      <c r="A60" s="96" t="s">
        <v>930</v>
      </c>
      <c r="B60" s="96" t="s">
        <v>978</v>
      </c>
      <c r="C60" s="96">
        <v>5</v>
      </c>
      <c r="D60" s="96" t="str">
        <f t="shared" si="0"/>
        <v>Media::5::Plan a digital media artefact from a selected client brief</v>
      </c>
      <c r="E60" s="96" t="s">
        <v>993</v>
      </c>
      <c r="F60" s="96">
        <v>4.0999999999999996</v>
      </c>
      <c r="G60" s="96" t="s">
        <v>103</v>
      </c>
      <c r="H60" s="96" t="s">
        <v>96</v>
      </c>
    </row>
    <row r="61" spans="1:8" ht="13">
      <c r="A61" s="96" t="s">
        <v>930</v>
      </c>
      <c r="B61" s="96" t="s">
        <v>978</v>
      </c>
      <c r="C61" s="96">
        <v>6</v>
      </c>
      <c r="D61" s="96" t="str">
        <f t="shared" si="0"/>
        <v>Media::6::Create media artefacts</v>
      </c>
      <c r="E61" s="96" t="s">
        <v>994</v>
      </c>
      <c r="F61" s="96">
        <v>4.0999999999999996</v>
      </c>
      <c r="G61" s="96" t="s">
        <v>103</v>
      </c>
      <c r="H61" s="96" t="s">
        <v>96</v>
      </c>
    </row>
    <row r="62" spans="1:8" ht="13">
      <c r="A62" s="96" t="s">
        <v>930</v>
      </c>
      <c r="B62" s="96" t="s">
        <v>978</v>
      </c>
      <c r="C62" s="96">
        <v>7</v>
      </c>
      <c r="D62" s="96" t="str">
        <f t="shared" si="0"/>
        <v>Media::7::Evaluate design decisions for media artefacts</v>
      </c>
      <c r="E62" s="96" t="s">
        <v>995</v>
      </c>
      <c r="F62" s="96">
        <v>4.0999999999999996</v>
      </c>
      <c r="G62" s="96" t="s">
        <v>103</v>
      </c>
      <c r="H62" s="96" t="s">
        <v>96</v>
      </c>
    </row>
    <row r="63" spans="1:8" ht="13">
      <c r="A63" s="96" t="s">
        <v>930</v>
      </c>
      <c r="B63" s="96" t="s">
        <v>67</v>
      </c>
      <c r="C63" s="96">
        <v>1</v>
      </c>
      <c r="D63" s="96" t="str">
        <f t="shared" si="0"/>
        <v>Object-oriented programming::1::Describe the role of conventions in programming</v>
      </c>
      <c r="E63" s="96" t="s">
        <v>996</v>
      </c>
      <c r="F63" s="96" t="s">
        <v>954</v>
      </c>
      <c r="G63" s="96" t="s">
        <v>27</v>
      </c>
      <c r="H63" s="96" t="s">
        <v>96</v>
      </c>
    </row>
    <row r="64" spans="1:8" ht="13">
      <c r="A64" s="96" t="s">
        <v>930</v>
      </c>
      <c r="B64" s="96" t="s">
        <v>67</v>
      </c>
      <c r="C64" s="96">
        <v>1</v>
      </c>
      <c r="D64" s="96" t="str">
        <f t="shared" si="0"/>
        <v>Object-oriented programming::1::Recall that there are different paradigms for programming</v>
      </c>
      <c r="E64" s="96" t="s">
        <v>997</v>
      </c>
      <c r="F64" s="96" t="s">
        <v>954</v>
      </c>
      <c r="G64" s="96" t="s">
        <v>27</v>
      </c>
      <c r="H64" s="96" t="s">
        <v>96</v>
      </c>
    </row>
    <row r="65" spans="1:8" ht="13">
      <c r="A65" s="96" t="s">
        <v>930</v>
      </c>
      <c r="B65" s="96" t="s">
        <v>67</v>
      </c>
      <c r="C65" s="96">
        <v>1</v>
      </c>
      <c r="D65" s="96" t="str">
        <f t="shared" si="0"/>
        <v>Object-oriented programming::1::Define object-oriented programming</v>
      </c>
      <c r="E65" s="96" t="s">
        <v>998</v>
      </c>
      <c r="F65" s="96" t="s">
        <v>954</v>
      </c>
      <c r="G65" s="96" t="s">
        <v>27</v>
      </c>
      <c r="H65" s="96" t="s">
        <v>96</v>
      </c>
    </row>
    <row r="66" spans="1:8" ht="13">
      <c r="A66" s="96" t="s">
        <v>930</v>
      </c>
      <c r="B66" s="96" t="s">
        <v>67</v>
      </c>
      <c r="C66" s="96">
        <v>1</v>
      </c>
      <c r="D66" s="96" t="str">
        <f t="shared" si="0"/>
        <v>Object-oriented programming::1::Identify a class and object as a part of a program</v>
      </c>
      <c r="E66" s="96" t="s">
        <v>999</v>
      </c>
      <c r="F66" s="96" t="s">
        <v>954</v>
      </c>
      <c r="G66" s="96" t="s">
        <v>27</v>
      </c>
      <c r="H66" s="96" t="s">
        <v>96</v>
      </c>
    </row>
    <row r="67" spans="1:8" ht="13">
      <c r="A67" s="96" t="s">
        <v>930</v>
      </c>
      <c r="B67" s="96" t="s">
        <v>67</v>
      </c>
      <c r="C67" s="96">
        <v>2</v>
      </c>
      <c r="D67" s="96" t="str">
        <f t="shared" si="0"/>
        <v>Object-oriented programming::2::Describe the relationship between a class and an object</v>
      </c>
      <c r="E67" s="96" t="s">
        <v>1000</v>
      </c>
      <c r="F67" s="96" t="s">
        <v>954</v>
      </c>
      <c r="G67" s="96" t="s">
        <v>27</v>
      </c>
      <c r="H67" s="96" t="s">
        <v>96</v>
      </c>
    </row>
    <row r="68" spans="1:8" ht="13">
      <c r="A68" s="96" t="s">
        <v>930</v>
      </c>
      <c r="B68" s="96" t="s">
        <v>67</v>
      </c>
      <c r="C68" s="96">
        <v>2</v>
      </c>
      <c r="D68" s="96" t="str">
        <f t="shared" si="0"/>
        <v>Object-oriented programming::2::Define attributes and methods as a part of a class</v>
      </c>
      <c r="E68" s="96" t="s">
        <v>1001</v>
      </c>
      <c r="F68" s="96" t="s">
        <v>954</v>
      </c>
      <c r="G68" s="96" t="s">
        <v>27</v>
      </c>
      <c r="H68" s="96" t="s">
        <v>96</v>
      </c>
    </row>
    <row r="69" spans="1:8" ht="13">
      <c r="A69" s="96" t="s">
        <v>930</v>
      </c>
      <c r="B69" s="96" t="s">
        <v>67</v>
      </c>
      <c r="C69" s="96">
        <v>2</v>
      </c>
      <c r="D69" s="96" t="str">
        <f t="shared" si="0"/>
        <v>Object-oriented programming::2::Use a constructor to create objects</v>
      </c>
      <c r="E69" s="96" t="s">
        <v>1002</v>
      </c>
      <c r="F69" s="96" t="s">
        <v>954</v>
      </c>
      <c r="G69" s="96" t="s">
        <v>27</v>
      </c>
      <c r="H69" s="96" t="s">
        <v>96</v>
      </c>
    </row>
    <row r="70" spans="1:8" ht="13">
      <c r="A70" s="96" t="s">
        <v>930</v>
      </c>
      <c r="B70" s="96" t="s">
        <v>67</v>
      </c>
      <c r="C70" s="96">
        <v>2</v>
      </c>
      <c r="D70" s="96" t="str">
        <f t="shared" si="0"/>
        <v>Object-oriented programming::2::Use a method and access an attribute on an object</v>
      </c>
      <c r="E70" s="96" t="s">
        <v>1003</v>
      </c>
      <c r="F70" s="96" t="s">
        <v>954</v>
      </c>
      <c r="G70" s="96" t="s">
        <v>27</v>
      </c>
      <c r="H70" s="96" t="s">
        <v>96</v>
      </c>
    </row>
    <row r="71" spans="1:8" ht="13">
      <c r="A71" s="96" t="s">
        <v>930</v>
      </c>
      <c r="B71" s="96" t="s">
        <v>67</v>
      </c>
      <c r="C71" s="96">
        <v>2</v>
      </c>
      <c r="D71" s="96" t="str">
        <f t="shared" si="0"/>
        <v>Object-oriented programming::2::Model a real world problem using object oriented programming conventions</v>
      </c>
      <c r="E71" s="96" t="s">
        <v>1004</v>
      </c>
      <c r="F71" s="96" t="s">
        <v>954</v>
      </c>
      <c r="G71" s="96" t="s">
        <v>163</v>
      </c>
      <c r="H71" s="96" t="s">
        <v>96</v>
      </c>
    </row>
    <row r="72" spans="1:8" ht="13">
      <c r="A72" s="96" t="s">
        <v>930</v>
      </c>
      <c r="B72" s="96" t="s">
        <v>67</v>
      </c>
      <c r="C72" s="96">
        <v>3</v>
      </c>
      <c r="D72" s="96" t="str">
        <f t="shared" si="0"/>
        <v>Object-oriented programming::3::Create a class</v>
      </c>
      <c r="E72" s="96" t="s">
        <v>1005</v>
      </c>
      <c r="F72" s="96" t="s">
        <v>954</v>
      </c>
      <c r="G72" s="96" t="s">
        <v>27</v>
      </c>
      <c r="H72" s="96" t="s">
        <v>96</v>
      </c>
    </row>
    <row r="73" spans="1:8" ht="13">
      <c r="A73" s="96" t="s">
        <v>930</v>
      </c>
      <c r="B73" s="96" t="s">
        <v>67</v>
      </c>
      <c r="C73" s="96">
        <v>3</v>
      </c>
      <c r="D73" s="96" t="str">
        <f t="shared" si="0"/>
        <v>Object-oriented programming::3::Define the use of a self parameter in object-oriented Python</v>
      </c>
      <c r="E73" s="96" t="s">
        <v>1006</v>
      </c>
      <c r="F73" s="96" t="s">
        <v>954</v>
      </c>
      <c r="G73" s="96" t="s">
        <v>27</v>
      </c>
      <c r="H73" s="96" t="s">
        <v>96</v>
      </c>
    </row>
    <row r="74" spans="1:8" ht="13">
      <c r="A74" s="96" t="s">
        <v>930</v>
      </c>
      <c r="B74" s="96" t="s">
        <v>67</v>
      </c>
      <c r="C74" s="96">
        <v>3</v>
      </c>
      <c r="D74" s="96" t="str">
        <f t="shared" si="0"/>
        <v>Object-oriented programming::3::Create a method on a class</v>
      </c>
      <c r="E74" s="96" t="s">
        <v>1007</v>
      </c>
      <c r="F74" s="96" t="s">
        <v>954</v>
      </c>
      <c r="G74" s="96" t="s">
        <v>27</v>
      </c>
      <c r="H74" s="96" t="s">
        <v>96</v>
      </c>
    </row>
    <row r="75" spans="1:8" ht="13">
      <c r="A75" s="96" t="s">
        <v>930</v>
      </c>
      <c r="B75" s="96" t="s">
        <v>67</v>
      </c>
      <c r="C75" s="96">
        <v>3</v>
      </c>
      <c r="D75" s="96" t="str">
        <f t="shared" si="0"/>
        <v>Object-oriented programming::3::Access and modify attributes using getters and setters</v>
      </c>
      <c r="E75" s="96" t="s">
        <v>1008</v>
      </c>
      <c r="F75" s="96" t="s">
        <v>954</v>
      </c>
      <c r="G75" s="96" t="s">
        <v>27</v>
      </c>
      <c r="H75" s="96" t="s">
        <v>96</v>
      </c>
    </row>
    <row r="76" spans="1:8" ht="13">
      <c r="A76" s="96" t="s">
        <v>930</v>
      </c>
      <c r="B76" s="96" t="s">
        <v>67</v>
      </c>
      <c r="C76" s="96">
        <v>4</v>
      </c>
      <c r="D76" s="96" t="str">
        <f t="shared" si="0"/>
        <v>Object-oriented programming::4::Define the principle of inheritance</v>
      </c>
      <c r="E76" s="96" t="s">
        <v>1009</v>
      </c>
      <c r="F76" s="96" t="s">
        <v>954</v>
      </c>
      <c r="G76" s="96" t="s">
        <v>27</v>
      </c>
      <c r="H76" s="96" t="s">
        <v>96</v>
      </c>
    </row>
    <row r="77" spans="1:8" ht="13">
      <c r="A77" s="96" t="s">
        <v>930</v>
      </c>
      <c r="B77" s="96" t="s">
        <v>67</v>
      </c>
      <c r="C77" s="96">
        <v>4</v>
      </c>
      <c r="D77" s="96" t="str">
        <f t="shared" si="0"/>
        <v>Object-oriented programming::4::Define the terms superclass and subclass</v>
      </c>
      <c r="E77" s="96" t="s">
        <v>1010</v>
      </c>
      <c r="F77" s="96" t="s">
        <v>954</v>
      </c>
      <c r="G77" s="96" t="s">
        <v>27</v>
      </c>
      <c r="H77" s="96" t="s">
        <v>96</v>
      </c>
    </row>
    <row r="78" spans="1:8" ht="13">
      <c r="A78" s="96" t="s">
        <v>930</v>
      </c>
      <c r="B78" s="96" t="s">
        <v>67</v>
      </c>
      <c r="C78" s="96">
        <v>4</v>
      </c>
      <c r="D78" s="96" t="str">
        <f t="shared" si="0"/>
        <v>Object-oriented programming::4::Select appropriate uses of inheritance</v>
      </c>
      <c r="E78" s="96" t="s">
        <v>1011</v>
      </c>
      <c r="F78" s="96" t="s">
        <v>954</v>
      </c>
      <c r="G78" s="96" t="s">
        <v>27</v>
      </c>
      <c r="H78" s="96" t="s">
        <v>96</v>
      </c>
    </row>
    <row r="79" spans="1:8" ht="13">
      <c r="A79" s="96" t="s">
        <v>930</v>
      </c>
      <c r="B79" s="96" t="s">
        <v>67</v>
      </c>
      <c r="C79" s="96">
        <v>4</v>
      </c>
      <c r="D79" s="96" t="str">
        <f t="shared" si="0"/>
        <v>Object-oriented programming::4::Create a subclass in a program</v>
      </c>
      <c r="E79" s="96" t="s">
        <v>1012</v>
      </c>
      <c r="F79" s="96" t="s">
        <v>954</v>
      </c>
      <c r="G79" s="96" t="s">
        <v>27</v>
      </c>
      <c r="H79" s="96" t="s">
        <v>96</v>
      </c>
    </row>
    <row r="80" spans="1:8" ht="13">
      <c r="A80" s="96" t="s">
        <v>930</v>
      </c>
      <c r="B80" s="96" t="s">
        <v>67</v>
      </c>
      <c r="C80" s="96">
        <v>5</v>
      </c>
      <c r="D80" s="96" t="str">
        <f t="shared" si="0"/>
        <v>Object-oriented programming::5::Explore a program written using OOP</v>
      </c>
      <c r="E80" s="96" t="s">
        <v>1013</v>
      </c>
      <c r="F80" s="96" t="s">
        <v>954</v>
      </c>
      <c r="G80" s="96" t="s">
        <v>27</v>
      </c>
      <c r="H80" s="96" t="s">
        <v>96</v>
      </c>
    </row>
    <row r="81" spans="1:8" ht="13">
      <c r="A81" s="96" t="s">
        <v>930</v>
      </c>
      <c r="B81" s="96" t="s">
        <v>67</v>
      </c>
      <c r="C81" s="96">
        <v>5</v>
      </c>
      <c r="D81" s="96" t="str">
        <f t="shared" si="0"/>
        <v>Object-oriented programming::5::Explain the key concepts of OOP</v>
      </c>
      <c r="E81" s="96" t="s">
        <v>1014</v>
      </c>
      <c r="F81" s="96" t="s">
        <v>954</v>
      </c>
      <c r="G81" s="96" t="s">
        <v>27</v>
      </c>
      <c r="H81" s="96" t="s">
        <v>96</v>
      </c>
    </row>
    <row r="82" spans="1:8" ht="13">
      <c r="A82" s="96" t="s">
        <v>930</v>
      </c>
      <c r="B82" s="96" t="s">
        <v>1015</v>
      </c>
      <c r="C82" s="96">
        <v>1</v>
      </c>
      <c r="D82" s="96" t="str">
        <f t="shared" si="0"/>
        <v>Online safety::1::Discuss the main safety concerns of being online</v>
      </c>
      <c r="E82" s="96" t="s">
        <v>1016</v>
      </c>
      <c r="F82" s="96">
        <v>4.3</v>
      </c>
      <c r="G82" s="96" t="s">
        <v>34</v>
      </c>
      <c r="H82" s="96" t="s">
        <v>60</v>
      </c>
    </row>
    <row r="83" spans="1:8" ht="13">
      <c r="A83" s="96" t="s">
        <v>930</v>
      </c>
      <c r="B83" s="96" t="s">
        <v>1015</v>
      </c>
      <c r="C83" s="96">
        <v>1</v>
      </c>
      <c r="D83" s="96" t="str">
        <f t="shared" si="0"/>
        <v>Online safety::1::Reflect on online activity from a safety perspective</v>
      </c>
      <c r="E83" s="96" t="s">
        <v>1017</v>
      </c>
      <c r="F83" s="96">
        <v>4.3</v>
      </c>
      <c r="G83" s="96" t="s">
        <v>34</v>
      </c>
      <c r="H83" s="96" t="s">
        <v>60</v>
      </c>
    </row>
    <row r="84" spans="1:8" ht="13">
      <c r="A84" s="96" t="s">
        <v>930</v>
      </c>
      <c r="B84" s="96" t="s">
        <v>1015</v>
      </c>
      <c r="C84" s="96">
        <v>2</v>
      </c>
      <c r="D84" s="96" t="str">
        <f t="shared" si="0"/>
        <v>Online safety::2::Define online reputation and discuss what it is made up of</v>
      </c>
      <c r="E84" s="96" t="s">
        <v>1018</v>
      </c>
      <c r="F84" s="96">
        <v>4.3</v>
      </c>
      <c r="G84" s="96" t="s">
        <v>34</v>
      </c>
      <c r="H84" s="96" t="s">
        <v>60</v>
      </c>
    </row>
    <row r="85" spans="1:8" ht="13">
      <c r="A85" s="96" t="s">
        <v>930</v>
      </c>
      <c r="B85" s="96" t="s">
        <v>1015</v>
      </c>
      <c r="C85" s="96">
        <v>2</v>
      </c>
      <c r="D85" s="96" t="str">
        <f t="shared" si="0"/>
        <v>Online safety::2::Discuss techniques on how to build a positive online reputation</v>
      </c>
      <c r="E85" s="96" t="s">
        <v>1019</v>
      </c>
      <c r="F85" s="96">
        <v>4.3</v>
      </c>
      <c r="G85" s="96" t="s">
        <v>34</v>
      </c>
      <c r="H85" s="96" t="s">
        <v>60</v>
      </c>
    </row>
    <row r="86" spans="1:8" ht="13">
      <c r="A86" s="96" t="s">
        <v>930</v>
      </c>
      <c r="B86" s="96" t="s">
        <v>1015</v>
      </c>
      <c r="C86" s="96">
        <v>2</v>
      </c>
      <c r="D86" s="96" t="str">
        <f t="shared" si="0"/>
        <v>Online safety::2::Discuss the ways in which one’s online reputation might be under threat and how to defend it</v>
      </c>
      <c r="E86" s="96" t="s">
        <v>1020</v>
      </c>
      <c r="F86" s="96">
        <v>4.3</v>
      </c>
      <c r="G86" s="96" t="s">
        <v>34</v>
      </c>
      <c r="H86" s="96" t="s">
        <v>60</v>
      </c>
    </row>
    <row r="87" spans="1:8" ht="13">
      <c r="A87" s="96" t="s">
        <v>930</v>
      </c>
      <c r="B87" s="96" t="s">
        <v>1015</v>
      </c>
      <c r="C87" s="96">
        <v>3</v>
      </c>
      <c r="D87" s="96" t="str">
        <f t="shared" si="0"/>
        <v>Online safety::3::Define the terms ‘big data’ and ‘data analytics’</v>
      </c>
      <c r="E87" s="96" t="s">
        <v>1021</v>
      </c>
      <c r="F87" s="96">
        <v>4.3</v>
      </c>
      <c r="G87" s="96" t="s">
        <v>12</v>
      </c>
      <c r="H87" s="96" t="s">
        <v>60</v>
      </c>
    </row>
    <row r="88" spans="1:8" ht="13">
      <c r="A88" s="96" t="s">
        <v>930</v>
      </c>
      <c r="B88" s="96" t="s">
        <v>1015</v>
      </c>
      <c r="C88" s="96">
        <v>3</v>
      </c>
      <c r="D88" s="96" t="str">
        <f t="shared" si="0"/>
        <v>Online safety::3::Discuss the ethics of big data use</v>
      </c>
      <c r="E88" s="96" t="s">
        <v>1022</v>
      </c>
      <c r="F88" s="96">
        <v>4.3</v>
      </c>
      <c r="G88" s="96" t="s">
        <v>847</v>
      </c>
      <c r="H88" s="96" t="s">
        <v>60</v>
      </c>
    </row>
    <row r="89" spans="1:8" ht="13">
      <c r="A89" s="96" t="s">
        <v>930</v>
      </c>
      <c r="B89" s="96" t="s">
        <v>1015</v>
      </c>
      <c r="C89" s="96">
        <v>3</v>
      </c>
      <c r="D89" s="96" t="str">
        <f t="shared" si="0"/>
        <v>Online safety::3::Investigate the stakeholders who use big data and why</v>
      </c>
      <c r="E89" s="96" t="s">
        <v>1023</v>
      </c>
      <c r="F89" s="96">
        <v>4.3</v>
      </c>
      <c r="G89" s="96" t="s">
        <v>847</v>
      </c>
      <c r="H89" s="96" t="s">
        <v>60</v>
      </c>
    </row>
    <row r="90" spans="1:8" ht="13">
      <c r="A90" s="96" t="s">
        <v>930</v>
      </c>
      <c r="B90" s="96" t="s">
        <v>1015</v>
      </c>
      <c r="C90" s="96">
        <v>3</v>
      </c>
      <c r="D90" s="96" t="str">
        <f t="shared" si="0"/>
        <v>Online safety::3::Explain how data is collected on and how it is used</v>
      </c>
      <c r="E90" s="96" t="s">
        <v>1024</v>
      </c>
      <c r="F90" s="96">
        <v>4.3</v>
      </c>
      <c r="G90" s="96" t="s">
        <v>825</v>
      </c>
      <c r="H90" s="96" t="s">
        <v>60</v>
      </c>
    </row>
    <row r="91" spans="1:8" ht="13">
      <c r="A91" s="96" t="s">
        <v>930</v>
      </c>
      <c r="B91" s="96" t="s">
        <v>1015</v>
      </c>
      <c r="C91" s="96">
        <v>4</v>
      </c>
      <c r="D91" s="96" t="str">
        <f t="shared" si="0"/>
        <v>Online safety::4::Investigate the legal rights to privacy within the UK</v>
      </c>
      <c r="E91" s="96" t="s">
        <v>1025</v>
      </c>
      <c r="F91" s="96">
        <v>4.3</v>
      </c>
      <c r="G91" s="96" t="s">
        <v>21</v>
      </c>
      <c r="H91" s="96" t="s">
        <v>60</v>
      </c>
    </row>
    <row r="92" spans="1:8" ht="13">
      <c r="A92" s="96" t="s">
        <v>930</v>
      </c>
      <c r="B92" s="96" t="s">
        <v>1015</v>
      </c>
      <c r="C92" s="96">
        <v>4</v>
      </c>
      <c r="D92" s="96" t="str">
        <f t="shared" si="0"/>
        <v>Online safety::4::Discuss which rights are believed to be upheld</v>
      </c>
      <c r="E92" s="96" t="s">
        <v>1026</v>
      </c>
      <c r="F92" s="96">
        <v>4.3</v>
      </c>
      <c r="G92" s="96" t="s">
        <v>21</v>
      </c>
      <c r="H92" s="96" t="s">
        <v>60</v>
      </c>
    </row>
    <row r="93" spans="1:8" ht="13">
      <c r="A93" s="96" t="s">
        <v>930</v>
      </c>
      <c r="B93" s="96" t="s">
        <v>1015</v>
      </c>
      <c r="C93" s="96">
        <v>4</v>
      </c>
      <c r="D93" s="96" t="str">
        <f t="shared" si="0"/>
        <v>Online safety::4::Debate whether the right to privacy is important, why this might be the case, and if the right to privacy is in tension with any other rights</v>
      </c>
      <c r="E93" s="96" t="s">
        <v>1027</v>
      </c>
      <c r="F93" s="96">
        <v>4.3</v>
      </c>
      <c r="G93" s="96" t="s">
        <v>21</v>
      </c>
      <c r="H93" s="96" t="s">
        <v>60</v>
      </c>
    </row>
    <row r="94" spans="1:8" ht="13">
      <c r="A94" s="96" t="s">
        <v>930</v>
      </c>
      <c r="B94" s="96" t="s">
        <v>1015</v>
      </c>
      <c r="C94" s="96">
        <v>5</v>
      </c>
      <c r="D94" s="96" t="str">
        <f t="shared" si="0"/>
        <v>Online safety::5::Evaluate what data created online is valuable, and to whom</v>
      </c>
      <c r="E94" s="96" t="s">
        <v>1028</v>
      </c>
      <c r="F94" s="96">
        <v>4.3</v>
      </c>
      <c r="G94" s="96" t="s">
        <v>847</v>
      </c>
      <c r="H94" s="96" t="s">
        <v>60</v>
      </c>
    </row>
    <row r="95" spans="1:8" ht="13">
      <c r="A95" s="96" t="s">
        <v>930</v>
      </c>
      <c r="B95" s="96" t="s">
        <v>1015</v>
      </c>
      <c r="C95" s="96">
        <v>5</v>
      </c>
      <c r="D95" s="96" t="str">
        <f t="shared" si="0"/>
        <v>Online safety::5::Discuss ways in which data might be stolen</v>
      </c>
      <c r="E95" s="96" t="s">
        <v>1029</v>
      </c>
      <c r="F95" s="96">
        <v>4.3</v>
      </c>
      <c r="G95" s="96" t="s">
        <v>825</v>
      </c>
      <c r="H95" s="96" t="s">
        <v>60</v>
      </c>
    </row>
    <row r="96" spans="1:8" ht="13">
      <c r="A96" s="96" t="s">
        <v>930</v>
      </c>
      <c r="B96" s="96" t="s">
        <v>1015</v>
      </c>
      <c r="C96" s="96">
        <v>5</v>
      </c>
      <c r="D96" s="96" t="str">
        <f t="shared" si="0"/>
        <v>Online safety::5::Define terms ‘phishing’ and ‘malware’</v>
      </c>
      <c r="E96" s="96" t="s">
        <v>1030</v>
      </c>
      <c r="F96" s="96">
        <v>4.3</v>
      </c>
      <c r="G96" s="96" t="s">
        <v>34</v>
      </c>
      <c r="H96" s="96" t="s">
        <v>60</v>
      </c>
    </row>
    <row r="97" spans="1:8" ht="13">
      <c r="A97" s="96" t="s">
        <v>930</v>
      </c>
      <c r="B97" s="96" t="s">
        <v>1015</v>
      </c>
      <c r="C97" s="96">
        <v>5</v>
      </c>
      <c r="D97" s="96" t="str">
        <f t="shared" si="0"/>
        <v>Online safety::5::Identify ways to protect one’s data online</v>
      </c>
      <c r="E97" s="96" t="s">
        <v>1031</v>
      </c>
      <c r="F97" s="96">
        <v>4.3</v>
      </c>
      <c r="G97" s="96" t="s">
        <v>34</v>
      </c>
      <c r="H97" s="96" t="s">
        <v>60</v>
      </c>
    </row>
    <row r="98" spans="1:8" ht="13">
      <c r="A98" s="96" t="s">
        <v>930</v>
      </c>
      <c r="B98" s="96" t="s">
        <v>1015</v>
      </c>
      <c r="C98" s="96">
        <v>6</v>
      </c>
      <c r="D98" s="96" t="str">
        <f t="shared" si="0"/>
        <v>Online safety::6::Discuss examples of disinformation spread online</v>
      </c>
      <c r="E98" s="96" t="s">
        <v>1032</v>
      </c>
      <c r="F98" s="96">
        <v>4.3</v>
      </c>
      <c r="G98" s="96" t="s">
        <v>21</v>
      </c>
      <c r="H98" s="96" t="s">
        <v>60</v>
      </c>
    </row>
    <row r="99" spans="1:8" ht="13">
      <c r="A99" s="96" t="s">
        <v>930</v>
      </c>
      <c r="B99" s="96" t="s">
        <v>1015</v>
      </c>
      <c r="C99" s="96">
        <v>6</v>
      </c>
      <c r="D99" s="96" t="str">
        <f t="shared" si="0"/>
        <v>Online safety::6::Define the term ‘fake news’ and discuss the quantity of fake news available online</v>
      </c>
      <c r="E99" s="96" t="s">
        <v>1033</v>
      </c>
      <c r="F99" s="96">
        <v>4.3</v>
      </c>
      <c r="G99" s="96" t="s">
        <v>21</v>
      </c>
      <c r="H99" s="96" t="s">
        <v>60</v>
      </c>
    </row>
    <row r="100" spans="1:8" ht="13">
      <c r="A100" s="96" t="s">
        <v>930</v>
      </c>
      <c r="B100" s="96" t="s">
        <v>1015</v>
      </c>
      <c r="C100" s="96">
        <v>6</v>
      </c>
      <c r="D100" s="96" t="str">
        <f t="shared" si="0"/>
        <v>Online safety::6::Identify why fake news exists and who creates it</v>
      </c>
      <c r="E100" s="96" t="s">
        <v>1034</v>
      </c>
      <c r="F100" s="96">
        <v>4.3</v>
      </c>
      <c r="G100" s="96" t="s">
        <v>21</v>
      </c>
      <c r="H100" s="96" t="s">
        <v>60</v>
      </c>
    </row>
    <row r="101" spans="1:8" ht="13">
      <c r="A101" s="96" t="s">
        <v>930</v>
      </c>
      <c r="B101" s="96" t="s">
        <v>1015</v>
      </c>
      <c r="C101" s="96">
        <v>6</v>
      </c>
      <c r="D101" s="96" t="str">
        <f t="shared" si="0"/>
        <v>Online safety::6::Discuss ways of identifying fake news and other forms of disinformation</v>
      </c>
      <c r="E101" s="96" t="s">
        <v>1035</v>
      </c>
      <c r="F101" s="96">
        <v>4.3</v>
      </c>
      <c r="G101" s="96" t="s">
        <v>21</v>
      </c>
      <c r="H101" s="96" t="s">
        <v>60</v>
      </c>
    </row>
    <row r="102" spans="1:8" ht="13">
      <c r="A102" s="96" t="s">
        <v>930</v>
      </c>
      <c r="B102" s="96" t="s">
        <v>1015</v>
      </c>
      <c r="C102" s="96">
        <v>7</v>
      </c>
      <c r="D102" s="96" t="str">
        <f t="shared" si="0"/>
        <v>Online safety::7::Explain why some content online can be potentially harmful</v>
      </c>
      <c r="E102" s="96" t="s">
        <v>1036</v>
      </c>
      <c r="F102" s="96">
        <v>4.3</v>
      </c>
      <c r="G102" s="96" t="s">
        <v>21</v>
      </c>
      <c r="H102" s="96" t="s">
        <v>60</v>
      </c>
    </row>
    <row r="103" spans="1:8" ht="13">
      <c r="A103" s="96" t="s">
        <v>930</v>
      </c>
      <c r="B103" s="96" t="s">
        <v>1015</v>
      </c>
      <c r="C103" s="96">
        <v>7</v>
      </c>
      <c r="D103" s="96" t="str">
        <f t="shared" si="0"/>
        <v>Online safety::7::Describe the UK laws governing online content</v>
      </c>
      <c r="E103" s="96" t="s">
        <v>1037</v>
      </c>
      <c r="F103" s="96">
        <v>4.3</v>
      </c>
      <c r="G103" s="96" t="s">
        <v>21</v>
      </c>
      <c r="H103" s="96" t="s">
        <v>60</v>
      </c>
    </row>
    <row r="104" spans="1:8" ht="13">
      <c r="A104" s="96" t="s">
        <v>930</v>
      </c>
      <c r="B104" s="96" t="s">
        <v>1015</v>
      </c>
      <c r="C104" s="96">
        <v>7</v>
      </c>
      <c r="D104" s="96" t="str">
        <f t="shared" si="0"/>
        <v>Online safety::7::Discuss why policing online spaces can be difficult</v>
      </c>
      <c r="E104" s="96" t="s">
        <v>1038</v>
      </c>
      <c r="F104" s="96">
        <v>4.3</v>
      </c>
      <c r="G104" s="96" t="s">
        <v>617</v>
      </c>
      <c r="H104" s="96" t="s">
        <v>60</v>
      </c>
    </row>
    <row r="105" spans="1:8" ht="13">
      <c r="A105" s="96" t="s">
        <v>930</v>
      </c>
      <c r="B105" s="96" t="s">
        <v>1015</v>
      </c>
      <c r="C105" s="96">
        <v>7</v>
      </c>
      <c r="D105" s="96" t="str">
        <f t="shared" si="0"/>
        <v>Online safety::7::Demonstrate how to report illegal online content</v>
      </c>
      <c r="E105" s="96" t="s">
        <v>1039</v>
      </c>
      <c r="F105" s="96">
        <v>4.3</v>
      </c>
      <c r="G105" s="96" t="s">
        <v>617</v>
      </c>
      <c r="H105" s="96" t="s">
        <v>60</v>
      </c>
    </row>
    <row r="106" spans="1:8" ht="13">
      <c r="A106" s="96" t="s">
        <v>930</v>
      </c>
      <c r="B106" s="96" t="s">
        <v>1015</v>
      </c>
      <c r="C106" s="96">
        <v>8</v>
      </c>
      <c r="D106" s="96" t="str">
        <f t="shared" si="0"/>
        <v>Online safety::8::Discuss how we decide what content should be illegal</v>
      </c>
      <c r="E106" s="96" t="s">
        <v>1040</v>
      </c>
      <c r="F106" s="96">
        <v>4.3</v>
      </c>
      <c r="G106" s="96" t="s">
        <v>617</v>
      </c>
      <c r="H106" s="96" t="s">
        <v>60</v>
      </c>
    </row>
    <row r="107" spans="1:8" ht="13">
      <c r="A107" s="96" t="s">
        <v>930</v>
      </c>
      <c r="B107" s="96" t="s">
        <v>1015</v>
      </c>
      <c r="C107" s="96">
        <v>8</v>
      </c>
      <c r="D107" s="96" t="str">
        <f t="shared" si="0"/>
        <v>Online safety::8::Debate the right to access information in the context of safety concerns online already discussed in this unit</v>
      </c>
      <c r="E107" s="96" t="s">
        <v>1041</v>
      </c>
      <c r="F107" s="96">
        <v>4.3</v>
      </c>
      <c r="G107" s="96" t="s">
        <v>617</v>
      </c>
      <c r="H107" s="96" t="s">
        <v>60</v>
      </c>
    </row>
    <row r="108" spans="1:8" ht="13">
      <c r="A108" s="96" t="s">
        <v>930</v>
      </c>
      <c r="B108" s="96" t="s">
        <v>1015</v>
      </c>
      <c r="C108" s="96">
        <v>8</v>
      </c>
      <c r="D108" s="96" t="str">
        <f t="shared" si="0"/>
        <v>Online safety::8::Compare UK laws with those in other countries</v>
      </c>
      <c r="E108" s="96" t="s">
        <v>1042</v>
      </c>
      <c r="F108" s="96">
        <v>4.3</v>
      </c>
      <c r="G108" s="96" t="s">
        <v>21</v>
      </c>
      <c r="H108" s="96" t="s">
        <v>60</v>
      </c>
    </row>
    <row r="109" spans="1:8" ht="13">
      <c r="A109" s="96" t="s">
        <v>930</v>
      </c>
      <c r="B109" s="96" t="s">
        <v>1015</v>
      </c>
      <c r="C109" s="96">
        <v>8</v>
      </c>
      <c r="D109" s="96" t="str">
        <f t="shared" si="0"/>
        <v>Online safety::8::Discover different technologies used to access and share information online</v>
      </c>
      <c r="E109" s="96" t="s">
        <v>1043</v>
      </c>
      <c r="F109" s="96">
        <v>4.3</v>
      </c>
      <c r="G109" s="96" t="s">
        <v>173</v>
      </c>
      <c r="H109" s="96" t="s">
        <v>60</v>
      </c>
    </row>
    <row r="110" spans="1:8" ht="13">
      <c r="A110" s="96" t="s">
        <v>930</v>
      </c>
      <c r="B110" s="96" t="s">
        <v>1015</v>
      </c>
      <c r="C110" s="96">
        <v>9</v>
      </c>
      <c r="D110" s="96" t="str">
        <f t="shared" si="0"/>
        <v>Online safety::9::Reflect on how big data and other tools help to target information to specific users</v>
      </c>
      <c r="E110" s="96" t="s">
        <v>1044</v>
      </c>
      <c r="F110" s="96">
        <v>4.3</v>
      </c>
      <c r="G110" s="96" t="s">
        <v>847</v>
      </c>
      <c r="H110" s="96" t="s">
        <v>60</v>
      </c>
    </row>
    <row r="111" spans="1:8" ht="13">
      <c r="A111" s="96" t="s">
        <v>930</v>
      </c>
      <c r="B111" s="96" t="s">
        <v>1015</v>
      </c>
      <c r="C111" s="96">
        <v>9</v>
      </c>
      <c r="D111" s="96" t="str">
        <f t="shared" si="0"/>
        <v>Online safety::9::Discuss the impact this might have on different people’s online experiences and the potential disadvantages of living in an online bubble</v>
      </c>
      <c r="E111" s="96" t="s">
        <v>1045</v>
      </c>
      <c r="F111" s="96">
        <v>4.3</v>
      </c>
      <c r="G111" s="96" t="s">
        <v>825</v>
      </c>
      <c r="H111" s="96" t="s">
        <v>60</v>
      </c>
    </row>
    <row r="112" spans="1:8" ht="13">
      <c r="A112" s="96" t="s">
        <v>930</v>
      </c>
      <c r="B112" s="96" t="s">
        <v>1015</v>
      </c>
      <c r="C112" s="96">
        <v>10</v>
      </c>
      <c r="D112" s="96" t="str">
        <f t="shared" si="0"/>
        <v>Online safety::10::Contemplate the potential harms of being online</v>
      </c>
      <c r="E112" s="96" t="s">
        <v>1046</v>
      </c>
      <c r="F112" s="96">
        <v>4.3</v>
      </c>
      <c r="G112" s="96" t="s">
        <v>360</v>
      </c>
      <c r="H112" s="96" t="s">
        <v>60</v>
      </c>
    </row>
    <row r="113" spans="1:8" ht="13">
      <c r="A113" s="96" t="s">
        <v>930</v>
      </c>
      <c r="B113" s="96" t="s">
        <v>1015</v>
      </c>
      <c r="C113" s="96">
        <v>10</v>
      </c>
      <c r="D113" s="96" t="str">
        <f t="shared" si="0"/>
        <v>Online safety::10::Determine practical actions that can be made to protect oneself online</v>
      </c>
      <c r="E113" s="96" t="s">
        <v>1047</v>
      </c>
      <c r="F113" s="96">
        <v>4.3</v>
      </c>
      <c r="G113" s="96" t="s">
        <v>360</v>
      </c>
      <c r="H113" s="96" t="s">
        <v>60</v>
      </c>
    </row>
    <row r="114" spans="1:8" ht="13">
      <c r="A114" s="96" t="s">
        <v>930</v>
      </c>
      <c r="B114" s="96" t="s">
        <v>1015</v>
      </c>
      <c r="C114" s="96">
        <v>10</v>
      </c>
      <c r="D114" s="96" t="str">
        <f t="shared" si="0"/>
        <v>Online safety::10::Summarise key aspects of online safety</v>
      </c>
      <c r="E114" s="96" t="s">
        <v>1048</v>
      </c>
      <c r="F114" s="96">
        <v>4.3</v>
      </c>
      <c r="G114" s="96" t="s">
        <v>1049</v>
      </c>
      <c r="H114" s="96" t="s">
        <v>60</v>
      </c>
    </row>
    <row r="115" spans="1:8" ht="13">
      <c r="A115" s="96" t="s">
        <v>930</v>
      </c>
      <c r="B115" s="96" t="s">
        <v>1050</v>
      </c>
      <c r="C115" s="96">
        <v>1</v>
      </c>
      <c r="D115" s="96" t="str">
        <f t="shared" si="0"/>
        <v>Spreadsheets::1::Create a spreadsheet model for a given scenario</v>
      </c>
      <c r="E115" s="96" t="s">
        <v>1051</v>
      </c>
      <c r="F115" s="96" t="s">
        <v>954</v>
      </c>
      <c r="G115" s="96" t="s">
        <v>217</v>
      </c>
      <c r="H115" s="96" t="s">
        <v>96</v>
      </c>
    </row>
    <row r="116" spans="1:8" ht="13">
      <c r="A116" s="96" t="s">
        <v>930</v>
      </c>
      <c r="B116" s="96" t="s">
        <v>1050</v>
      </c>
      <c r="C116" s="96">
        <v>1</v>
      </c>
      <c r="D116" s="96" t="str">
        <f t="shared" si="0"/>
        <v>Spreadsheets::1::Demonstrate how to use formulae to perform calculations</v>
      </c>
      <c r="E116" s="96" t="s">
        <v>1052</v>
      </c>
      <c r="F116" s="96" t="s">
        <v>954</v>
      </c>
      <c r="G116" s="96" t="s">
        <v>573</v>
      </c>
      <c r="H116" s="96" t="s">
        <v>96</v>
      </c>
    </row>
    <row r="117" spans="1:8" ht="13">
      <c r="A117" s="96" t="s">
        <v>930</v>
      </c>
      <c r="B117" s="96" t="s">
        <v>1050</v>
      </c>
      <c r="C117" s="96">
        <v>1</v>
      </c>
      <c r="D117" s="96" t="str">
        <f t="shared" si="0"/>
        <v>Spreadsheets::1::Apply cell formatting</v>
      </c>
      <c r="E117" s="96" t="s">
        <v>1053</v>
      </c>
      <c r="F117" s="96" t="s">
        <v>954</v>
      </c>
      <c r="G117" s="96" t="s">
        <v>217</v>
      </c>
      <c r="H117" s="96" t="s">
        <v>96</v>
      </c>
    </row>
    <row r="118" spans="1:8" ht="13">
      <c r="A118" s="96" t="s">
        <v>930</v>
      </c>
      <c r="B118" s="96" t="s">
        <v>1050</v>
      </c>
      <c r="C118" s="96">
        <v>2</v>
      </c>
      <c r="D118" s="96" t="str">
        <f t="shared" si="0"/>
        <v>Spreadsheets::2::Implement formatting to make the spreadsheet readable and to highlight different specific information</v>
      </c>
      <c r="E118" s="96" t="s">
        <v>1054</v>
      </c>
      <c r="F118" s="96" t="s">
        <v>954</v>
      </c>
      <c r="G118" s="96" t="s">
        <v>217</v>
      </c>
      <c r="H118" s="96" t="s">
        <v>96</v>
      </c>
    </row>
    <row r="119" spans="1:8" ht="13">
      <c r="A119" s="96" t="s">
        <v>930</v>
      </c>
      <c r="B119" s="96" t="s">
        <v>1050</v>
      </c>
      <c r="C119" s="96">
        <v>2</v>
      </c>
      <c r="D119" s="96" t="str">
        <f t="shared" si="0"/>
        <v>Spreadsheets::2::Use data validation when entering data in order to reduce user error</v>
      </c>
      <c r="E119" s="96" t="s">
        <v>1055</v>
      </c>
      <c r="F119" s="96" t="s">
        <v>954</v>
      </c>
      <c r="G119" s="96" t="s">
        <v>217</v>
      </c>
      <c r="H119" s="96" t="s">
        <v>96</v>
      </c>
    </row>
    <row r="120" spans="1:8" ht="13">
      <c r="A120" s="96" t="s">
        <v>930</v>
      </c>
      <c r="B120" s="96" t="s">
        <v>1050</v>
      </c>
      <c r="C120" s="96">
        <v>3</v>
      </c>
      <c r="D120" s="96" t="str">
        <f t="shared" si="0"/>
        <v>Spreadsheets::3::Implement conditional formatting techniques</v>
      </c>
      <c r="E120" s="96" t="s">
        <v>1056</v>
      </c>
      <c r="F120" s="96" t="s">
        <v>954</v>
      </c>
      <c r="G120" s="96" t="s">
        <v>573</v>
      </c>
      <c r="H120" s="96" t="s">
        <v>96</v>
      </c>
    </row>
    <row r="121" spans="1:8" ht="13">
      <c r="A121" s="96" t="s">
        <v>930</v>
      </c>
      <c r="B121" s="96" t="s">
        <v>1050</v>
      </c>
      <c r="C121" s="96">
        <v>3</v>
      </c>
      <c r="D121" s="96" t="str">
        <f t="shared" si="0"/>
        <v>Spreadsheets::3::Format cells correctly, e.g. cells representing money should be currency, etc.</v>
      </c>
      <c r="E121" s="96" t="s">
        <v>1057</v>
      </c>
      <c r="F121" s="96" t="s">
        <v>954</v>
      </c>
      <c r="G121" s="96" t="s">
        <v>217</v>
      </c>
      <c r="H121" s="96" t="s">
        <v>96</v>
      </c>
    </row>
    <row r="122" spans="1:8" ht="13">
      <c r="A122" s="96" t="s">
        <v>930</v>
      </c>
      <c r="B122" s="96" t="s">
        <v>1050</v>
      </c>
      <c r="C122" s="96">
        <v>4</v>
      </c>
      <c r="D122" s="96" t="str">
        <f t="shared" si="0"/>
        <v>Spreadsheets::4::Select the most suitable chart to visualise the selected data</v>
      </c>
      <c r="E122" s="96" t="s">
        <v>1058</v>
      </c>
      <c r="F122" s="96" t="s">
        <v>954</v>
      </c>
      <c r="G122" s="96" t="s">
        <v>217</v>
      </c>
      <c r="H122" s="96" t="s">
        <v>96</v>
      </c>
    </row>
    <row r="123" spans="1:8" ht="13">
      <c r="A123" s="96" t="s">
        <v>930</v>
      </c>
      <c r="B123" s="96" t="s">
        <v>1050</v>
      </c>
      <c r="C123" s="96">
        <v>4</v>
      </c>
      <c r="D123" s="96" t="str">
        <f t="shared" si="0"/>
        <v>Spreadsheets::4::Recognise the importance of clear titles and labels</v>
      </c>
      <c r="E123" s="96" t="s">
        <v>1059</v>
      </c>
      <c r="F123" s="96" t="s">
        <v>954</v>
      </c>
      <c r="G123" s="96" t="s">
        <v>217</v>
      </c>
      <c r="H123" s="96" t="s">
        <v>96</v>
      </c>
    </row>
    <row r="124" spans="1:8" ht="13">
      <c r="A124" s="96" t="s">
        <v>930</v>
      </c>
      <c r="B124" s="96" t="s">
        <v>1050</v>
      </c>
      <c r="C124" s="96">
        <v>4</v>
      </c>
      <c r="D124" s="96" t="str">
        <f t="shared" si="0"/>
        <v>Spreadsheets::4::Implement and test a macro to carry out a repetitive task</v>
      </c>
      <c r="E124" s="96" t="s">
        <v>1060</v>
      </c>
      <c r="F124" s="96" t="s">
        <v>954</v>
      </c>
      <c r="G124" s="96" t="s">
        <v>573</v>
      </c>
      <c r="H124" s="96" t="s">
        <v>96</v>
      </c>
    </row>
    <row r="125" spans="1:8" ht="13">
      <c r="A125" s="96" t="s">
        <v>930</v>
      </c>
      <c r="B125" s="96" t="s">
        <v>1050</v>
      </c>
      <c r="C125" s="96">
        <v>5</v>
      </c>
      <c r="D125" s="96" t="str">
        <f t="shared" si="0"/>
        <v>Spreadsheets::5::Implement a LOOKUP function to retrieve data</v>
      </c>
      <c r="E125" s="96" t="s">
        <v>1061</v>
      </c>
      <c r="F125" s="96" t="s">
        <v>954</v>
      </c>
      <c r="G125" s="96" t="s">
        <v>573</v>
      </c>
      <c r="H125" s="96" t="s">
        <v>96</v>
      </c>
    </row>
    <row r="126" spans="1:8" ht="13">
      <c r="A126" s="96" t="s">
        <v>930</v>
      </c>
      <c r="B126" s="96" t="s">
        <v>1050</v>
      </c>
      <c r="C126" s="96">
        <v>5</v>
      </c>
      <c r="D126" s="96" t="str">
        <f t="shared" si="0"/>
        <v>Spreadsheets::5::Implement an IF function to give the user feedback</v>
      </c>
      <c r="E126" s="96" t="s">
        <v>1062</v>
      </c>
      <c r="F126" s="96" t="s">
        <v>954</v>
      </c>
      <c r="G126" s="96" t="s">
        <v>573</v>
      </c>
      <c r="H126" s="96" t="s">
        <v>96</v>
      </c>
    </row>
    <row r="127" spans="1:8" ht="13">
      <c r="A127" s="96" t="s">
        <v>930</v>
      </c>
      <c r="B127" s="96" t="s">
        <v>1050</v>
      </c>
      <c r="C127" s="96">
        <v>6</v>
      </c>
      <c r="D127" s="96" t="str">
        <f t="shared" si="0"/>
        <v>Spreadsheets::6::Demonstrate that skills developed in the lessons can be applied to a different scenario</v>
      </c>
      <c r="E127" s="96" t="s">
        <v>1063</v>
      </c>
      <c r="F127" s="96" t="s">
        <v>954</v>
      </c>
      <c r="G127" s="96" t="s">
        <v>15</v>
      </c>
      <c r="H127" s="96" t="s">
        <v>96</v>
      </c>
    </row>
    <row r="128" spans="1:8" ht="13">
      <c r="A128" s="96" t="s">
        <v>930</v>
      </c>
      <c r="B128" s="96" t="s">
        <v>1050</v>
      </c>
      <c r="C128" s="96">
        <v>6</v>
      </c>
      <c r="D128" s="96" t="str">
        <f t="shared" si="0"/>
        <v>Spreadsheets::6::Solve problems using transferable skills</v>
      </c>
      <c r="E128" s="96" t="s">
        <v>1064</v>
      </c>
      <c r="F128" s="96" t="s">
        <v>954</v>
      </c>
      <c r="G128" s="96" t="s">
        <v>15</v>
      </c>
      <c r="H128" s="96" t="s">
        <v>96</v>
      </c>
    </row>
    <row r="129" spans="1:8" ht="13">
      <c r="A129" s="96" t="s">
        <v>930</v>
      </c>
      <c r="B129" s="96" t="s">
        <v>1050</v>
      </c>
      <c r="C129" s="96">
        <v>6</v>
      </c>
      <c r="D129" s="96" t="str">
        <f t="shared" si="0"/>
        <v>Spreadsheets::6::Think widely about the uses for and purposes of spreadsheets</v>
      </c>
      <c r="E129" s="96" t="s">
        <v>1065</v>
      </c>
      <c r="F129" s="96" t="s">
        <v>954</v>
      </c>
      <c r="G129" s="96" t="s">
        <v>308</v>
      </c>
      <c r="H129" s="96" t="s">
        <v>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325"/>
  <sheetViews>
    <sheetView workbookViewId="0"/>
  </sheetViews>
  <sheetFormatPr baseColWidth="10" defaultColWidth="12.6640625" defaultRowHeight="15.75" customHeight="1"/>
  <cols>
    <col min="5" max="5" width="158.83203125" customWidth="1"/>
  </cols>
  <sheetData>
    <row r="1" spans="1:8" ht="15.75" customHeight="1">
      <c r="A1" s="96" t="s">
        <v>70</v>
      </c>
      <c r="B1" s="96" t="s">
        <v>71</v>
      </c>
      <c r="C1" s="96" t="s">
        <v>72</v>
      </c>
      <c r="D1" s="96" t="s">
        <v>73</v>
      </c>
      <c r="E1" s="96"/>
      <c r="F1" s="96" t="s">
        <v>74</v>
      </c>
      <c r="G1" s="96" t="s">
        <v>74</v>
      </c>
      <c r="H1" s="96" t="s">
        <v>74</v>
      </c>
    </row>
    <row r="2" spans="1:8" ht="15.75" customHeight="1">
      <c r="A2" s="96" t="s">
        <v>1066</v>
      </c>
      <c r="B2" s="96" t="s">
        <v>1067</v>
      </c>
      <c r="C2" s="96">
        <v>1</v>
      </c>
      <c r="D2" s="96" t="s">
        <v>1068</v>
      </c>
      <c r="E2" s="96" t="str">
        <f t="shared" ref="E2:E256" si="0">B2&amp;"::"&amp;C2&amp;"::"&amp;D2</f>
        <v>Algorithms part 1::1::Define the terms decomposition, abstraction and algorithmic thinking</v>
      </c>
      <c r="F2" s="96" t="s">
        <v>954</v>
      </c>
      <c r="G2" s="96" t="s">
        <v>24</v>
      </c>
      <c r="H2" s="96" t="s">
        <v>96</v>
      </c>
    </row>
    <row r="3" spans="1:8" ht="15.75" customHeight="1">
      <c r="A3" s="96" t="s">
        <v>1066</v>
      </c>
      <c r="B3" s="96" t="s">
        <v>1067</v>
      </c>
      <c r="C3" s="96">
        <v>1</v>
      </c>
      <c r="D3" s="96" t="s">
        <v>1069</v>
      </c>
      <c r="E3" s="96" t="str">
        <f t="shared" si="0"/>
        <v>Algorithms part 1::1::Recognise scenarios where each of these computational thinking techniques are applied</v>
      </c>
      <c r="F3" s="96" t="s">
        <v>954</v>
      </c>
      <c r="G3" s="96" t="s">
        <v>24</v>
      </c>
      <c r="H3" s="96" t="s">
        <v>96</v>
      </c>
    </row>
    <row r="4" spans="1:8" ht="15.75" customHeight="1">
      <c r="A4" s="96" t="s">
        <v>1066</v>
      </c>
      <c r="B4" s="96" t="s">
        <v>1067</v>
      </c>
      <c r="C4" s="96">
        <v>1</v>
      </c>
      <c r="D4" s="96" t="s">
        <v>1070</v>
      </c>
      <c r="E4" s="96" t="str">
        <f t="shared" si="0"/>
        <v>Algorithms part 1::1::Apply decomposition, abstraction and algorithmic thinking to help solve a problem</v>
      </c>
      <c r="F4" s="96" t="s">
        <v>954</v>
      </c>
      <c r="G4" s="96" t="s">
        <v>24</v>
      </c>
      <c r="H4" s="96" t="s">
        <v>96</v>
      </c>
    </row>
    <row r="5" spans="1:8" ht="15.75" customHeight="1">
      <c r="A5" s="96" t="s">
        <v>1066</v>
      </c>
      <c r="B5" s="96" t="s">
        <v>1067</v>
      </c>
      <c r="C5" s="96">
        <v>2</v>
      </c>
      <c r="D5" s="96" t="s">
        <v>1071</v>
      </c>
      <c r="E5" s="96" t="str">
        <f t="shared" si="0"/>
        <v>Algorithms part 1::2::Describe the difference between algorithms and computer programs</v>
      </c>
      <c r="F5" s="96" t="s">
        <v>954</v>
      </c>
      <c r="G5" s="96" t="s">
        <v>234</v>
      </c>
      <c r="H5" s="96" t="s">
        <v>96</v>
      </c>
    </row>
    <row r="6" spans="1:8" ht="15.75" customHeight="1">
      <c r="A6" s="96" t="s">
        <v>1066</v>
      </c>
      <c r="B6" s="96" t="s">
        <v>1067</v>
      </c>
      <c r="C6" s="96">
        <v>2</v>
      </c>
      <c r="D6" s="96" t="s">
        <v>1072</v>
      </c>
      <c r="E6" s="96" t="str">
        <f t="shared" si="0"/>
        <v>Algorithms part 1::2::Identify algorithms that are defined as written descriptions, flowcharts and code</v>
      </c>
      <c r="F6" s="96" t="s">
        <v>954</v>
      </c>
      <c r="G6" s="96" t="s">
        <v>24</v>
      </c>
      <c r="H6" s="96" t="s">
        <v>96</v>
      </c>
    </row>
    <row r="7" spans="1:8" ht="15.75" customHeight="1">
      <c r="A7" s="96" t="s">
        <v>1066</v>
      </c>
      <c r="B7" s="96" t="s">
        <v>1067</v>
      </c>
      <c r="C7" s="96">
        <v>2</v>
      </c>
      <c r="D7" s="96" t="s">
        <v>1073</v>
      </c>
      <c r="E7" s="96" t="str">
        <f t="shared" si="0"/>
        <v>Algorithms part 1::2::Analyse and create flowcharts using the flowchart symbols</v>
      </c>
      <c r="F7" s="96" t="s">
        <v>954</v>
      </c>
      <c r="G7" s="96" t="s">
        <v>24</v>
      </c>
      <c r="H7" s="96" t="s">
        <v>96</v>
      </c>
    </row>
    <row r="8" spans="1:8" ht="15.75" customHeight="1">
      <c r="A8" s="96" t="s">
        <v>1066</v>
      </c>
      <c r="B8" s="96" t="s">
        <v>1067</v>
      </c>
      <c r="C8" s="96">
        <v>3</v>
      </c>
      <c r="D8" s="96" t="s">
        <v>1074</v>
      </c>
      <c r="E8" s="96" t="str">
        <f t="shared" si="0"/>
        <v>Algorithms part 1::3::Use a trace table to walk through code that contains a while loop, a for loop and a list of items</v>
      </c>
      <c r="F8" s="96" t="s">
        <v>954</v>
      </c>
      <c r="G8" s="96" t="s">
        <v>24</v>
      </c>
      <c r="H8" s="96" t="s">
        <v>96</v>
      </c>
    </row>
    <row r="9" spans="1:8" ht="15.75" customHeight="1">
      <c r="A9" s="96" t="s">
        <v>1066</v>
      </c>
      <c r="B9" s="96" t="s">
        <v>1067</v>
      </c>
      <c r="C9" s="96">
        <v>3</v>
      </c>
      <c r="D9" s="96" t="s">
        <v>1075</v>
      </c>
      <c r="E9" s="96" t="str">
        <f t="shared" si="0"/>
        <v>Algorithms part 1::3::Use a trace table to detect and correct errors in a program</v>
      </c>
      <c r="F9" s="96" t="s">
        <v>954</v>
      </c>
      <c r="G9" s="96" t="s">
        <v>234</v>
      </c>
      <c r="H9" s="96" t="s">
        <v>96</v>
      </c>
    </row>
    <row r="10" spans="1:8" ht="15.75" customHeight="1">
      <c r="A10" s="96" t="s">
        <v>1066</v>
      </c>
      <c r="B10" s="96" t="s">
        <v>1076</v>
      </c>
      <c r="C10" s="96">
        <v>4</v>
      </c>
      <c r="D10" s="96" t="s">
        <v>1077</v>
      </c>
      <c r="E10" s="96" t="str">
        <f t="shared" si="0"/>
        <v>Algorithms part 2::4::Identify why computers often need to search data</v>
      </c>
      <c r="F10" s="96" t="s">
        <v>954</v>
      </c>
      <c r="G10" s="96" t="s">
        <v>24</v>
      </c>
      <c r="H10" s="96" t="s">
        <v>96</v>
      </c>
    </row>
    <row r="11" spans="1:8" ht="15.75" customHeight="1">
      <c r="A11" s="96" t="s">
        <v>1066</v>
      </c>
      <c r="B11" s="96" t="s">
        <v>1076</v>
      </c>
      <c r="C11" s="96">
        <v>4</v>
      </c>
      <c r="D11" s="96" t="s">
        <v>1078</v>
      </c>
      <c r="E11" s="96" t="str">
        <f t="shared" si="0"/>
        <v>Algorithms part 2::4::Describe how linear search is used for finding the position of an item in a list of items</v>
      </c>
      <c r="F11" s="96" t="s">
        <v>954</v>
      </c>
      <c r="G11" s="96" t="s">
        <v>24</v>
      </c>
      <c r="H11" s="96" t="s">
        <v>96</v>
      </c>
    </row>
    <row r="12" spans="1:8" ht="15.75" customHeight="1">
      <c r="A12" s="96" t="s">
        <v>1066</v>
      </c>
      <c r="B12" s="96" t="s">
        <v>1076</v>
      </c>
      <c r="C12" s="96">
        <v>4</v>
      </c>
      <c r="D12" s="96" t="s">
        <v>1079</v>
      </c>
      <c r="E12" s="96" t="str">
        <f t="shared" si="0"/>
        <v>Algorithms part 2::4::Perform a linear search to find the position of an item in a list</v>
      </c>
      <c r="F12" s="96" t="s">
        <v>954</v>
      </c>
      <c r="G12" s="96" t="s">
        <v>234</v>
      </c>
      <c r="H12" s="96" t="s">
        <v>96</v>
      </c>
    </row>
    <row r="13" spans="1:8" ht="15.75" customHeight="1">
      <c r="A13" s="96" t="s">
        <v>1066</v>
      </c>
      <c r="B13" s="96" t="s">
        <v>1076</v>
      </c>
      <c r="C13" s="96">
        <v>5</v>
      </c>
      <c r="D13" s="96" t="s">
        <v>1080</v>
      </c>
      <c r="E13" s="96" t="str">
        <f t="shared" si="0"/>
        <v>Algorithms part 2::5::Describe how binary search is used for finding the position of an item in a list of items</v>
      </c>
      <c r="F13" s="96" t="s">
        <v>954</v>
      </c>
      <c r="G13" s="96" t="s">
        <v>24</v>
      </c>
      <c r="H13" s="96" t="s">
        <v>96</v>
      </c>
    </row>
    <row r="14" spans="1:8" ht="15.75" customHeight="1">
      <c r="A14" s="96" t="s">
        <v>1066</v>
      </c>
      <c r="B14" s="96" t="s">
        <v>1076</v>
      </c>
      <c r="C14" s="96">
        <v>5</v>
      </c>
      <c r="D14" s="96" t="s">
        <v>1081</v>
      </c>
      <c r="E14" s="96" t="str">
        <f t="shared" si="0"/>
        <v>Algorithms part 2::5::Perform a binary search to find the position of an item in a list</v>
      </c>
      <c r="F14" s="96" t="s">
        <v>954</v>
      </c>
      <c r="G14" s="96" t="s">
        <v>234</v>
      </c>
      <c r="H14" s="96" t="s">
        <v>96</v>
      </c>
    </row>
    <row r="15" spans="1:8" ht="15.75" customHeight="1">
      <c r="A15" s="96" t="s">
        <v>1066</v>
      </c>
      <c r="B15" s="96" t="s">
        <v>1076</v>
      </c>
      <c r="C15" s="96">
        <v>5</v>
      </c>
      <c r="D15" s="96" t="s">
        <v>1082</v>
      </c>
      <c r="E15" s="96" t="str">
        <f t="shared" si="0"/>
        <v>Algorithms part 2::5::Identify scenarios when a binary search can and cannot be carried out</v>
      </c>
      <c r="F15" s="96" t="s">
        <v>954</v>
      </c>
      <c r="G15" s="96" t="s">
        <v>24</v>
      </c>
      <c r="H15" s="96" t="s">
        <v>96</v>
      </c>
    </row>
    <row r="16" spans="1:8" ht="15.75" customHeight="1">
      <c r="A16" s="96" t="s">
        <v>1066</v>
      </c>
      <c r="B16" s="96" t="s">
        <v>1076</v>
      </c>
      <c r="C16" s="96">
        <v>6</v>
      </c>
      <c r="D16" s="96" t="s">
        <v>1083</v>
      </c>
      <c r="E16" s="96" t="str">
        <f t="shared" si="0"/>
        <v>Algorithms part 2::6::Compare the features of linear and binary search and decide which is most suitable in a given context</v>
      </c>
      <c r="F16" s="96" t="s">
        <v>954</v>
      </c>
      <c r="G16" s="96" t="s">
        <v>148</v>
      </c>
      <c r="H16" s="96" t="s">
        <v>96</v>
      </c>
    </row>
    <row r="17" spans="1:8" ht="15.75" customHeight="1">
      <c r="A17" s="96" t="s">
        <v>1066</v>
      </c>
      <c r="B17" s="96" t="s">
        <v>1076</v>
      </c>
      <c r="C17" s="96">
        <v>6</v>
      </c>
      <c r="D17" s="96" t="s">
        <v>1084</v>
      </c>
      <c r="E17" s="96" t="str">
        <f t="shared" si="0"/>
        <v>Algorithms part 2::6::Interpret the code for linear search and binary search</v>
      </c>
      <c r="F17" s="96" t="s">
        <v>954</v>
      </c>
      <c r="G17" s="96" t="s">
        <v>24</v>
      </c>
      <c r="H17" s="96" t="s">
        <v>96</v>
      </c>
    </row>
    <row r="18" spans="1:8" ht="15.75" customHeight="1">
      <c r="A18" s="96" t="s">
        <v>1066</v>
      </c>
      <c r="B18" s="96" t="s">
        <v>1076</v>
      </c>
      <c r="C18" s="96">
        <v>6</v>
      </c>
      <c r="D18" s="96" t="s">
        <v>1085</v>
      </c>
      <c r="E18" s="96" t="str">
        <f t="shared" si="0"/>
        <v>Algorithms part 2::6::Trace code for both searching algorithms with input data</v>
      </c>
      <c r="F18" s="96" t="s">
        <v>954</v>
      </c>
      <c r="G18" s="96" t="s">
        <v>234</v>
      </c>
      <c r="H18" s="96" t="s">
        <v>96</v>
      </c>
    </row>
    <row r="19" spans="1:8" ht="15.75" customHeight="1">
      <c r="A19" s="96" t="s">
        <v>1066</v>
      </c>
      <c r="B19" s="96" t="s">
        <v>1076</v>
      </c>
      <c r="C19" s="96">
        <v>7</v>
      </c>
      <c r="D19" s="96" t="s">
        <v>1086</v>
      </c>
      <c r="E19" s="96" t="str">
        <f t="shared" si="0"/>
        <v>Algorithms part 2::7::Identify why computers often need to sort data</v>
      </c>
      <c r="F19" s="96" t="s">
        <v>954</v>
      </c>
      <c r="G19" s="96" t="s">
        <v>24</v>
      </c>
      <c r="H19" s="96" t="s">
        <v>96</v>
      </c>
    </row>
    <row r="20" spans="1:8" ht="15.75" customHeight="1">
      <c r="A20" s="96" t="s">
        <v>1066</v>
      </c>
      <c r="B20" s="96" t="s">
        <v>1076</v>
      </c>
      <c r="C20" s="96">
        <v>7</v>
      </c>
      <c r="D20" s="96" t="s">
        <v>1087</v>
      </c>
      <c r="E20" s="96" t="str">
        <f t="shared" si="0"/>
        <v>Algorithms part 2::7::Traverse a list of items, swapping the items that are out of order</v>
      </c>
      <c r="F20" s="96" t="s">
        <v>954</v>
      </c>
      <c r="G20" s="96" t="s">
        <v>24</v>
      </c>
      <c r="H20" s="96" t="s">
        <v>96</v>
      </c>
    </row>
    <row r="21" spans="1:8" ht="15.75" customHeight="1">
      <c r="A21" s="96" t="s">
        <v>1066</v>
      </c>
      <c r="B21" s="96" t="s">
        <v>1076</v>
      </c>
      <c r="C21" s="96">
        <v>7</v>
      </c>
      <c r="D21" s="96" t="s">
        <v>1088</v>
      </c>
      <c r="E21" s="96" t="str">
        <f t="shared" si="0"/>
        <v>Algorithms part 2::7::Perform a bubble sort to order a list containing sample data</v>
      </c>
      <c r="F21" s="96" t="s">
        <v>954</v>
      </c>
      <c r="G21" s="96" t="s">
        <v>234</v>
      </c>
      <c r="H21" s="96" t="s">
        <v>96</v>
      </c>
    </row>
    <row r="22" spans="1:8" ht="15.75" customHeight="1">
      <c r="A22" s="96" t="s">
        <v>1066</v>
      </c>
      <c r="B22" s="96" t="s">
        <v>1076</v>
      </c>
      <c r="C22" s="96">
        <v>8</v>
      </c>
      <c r="D22" s="96" t="s">
        <v>1089</v>
      </c>
      <c r="E22" s="96" t="str">
        <f t="shared" si="0"/>
        <v>Algorithms part 2::8::Insert an item into an ordered list of items</v>
      </c>
      <c r="F22" s="96" t="s">
        <v>954</v>
      </c>
      <c r="G22" s="96" t="s">
        <v>24</v>
      </c>
      <c r="H22" s="96" t="s">
        <v>96</v>
      </c>
    </row>
    <row r="23" spans="1:8" ht="15.75" customHeight="1">
      <c r="A23" s="96" t="s">
        <v>1066</v>
      </c>
      <c r="B23" s="96" t="s">
        <v>1076</v>
      </c>
      <c r="C23" s="96">
        <v>8</v>
      </c>
      <c r="D23" s="96" t="s">
        <v>1090</v>
      </c>
      <c r="E23" s="96" t="str">
        <f t="shared" si="0"/>
        <v>Algorithms part 2::8::Describe how insertion sort is used for ordering a list of items</v>
      </c>
      <c r="F23" s="96" t="s">
        <v>954</v>
      </c>
      <c r="G23" s="96" t="s">
        <v>24</v>
      </c>
      <c r="H23" s="96" t="s">
        <v>96</v>
      </c>
    </row>
    <row r="24" spans="1:8" ht="15.75" customHeight="1">
      <c r="A24" s="96" t="s">
        <v>1066</v>
      </c>
      <c r="B24" s="96" t="s">
        <v>1076</v>
      </c>
      <c r="C24" s="96">
        <v>8</v>
      </c>
      <c r="D24" s="96" t="s">
        <v>1091</v>
      </c>
      <c r="E24" s="96" t="str">
        <f t="shared" si="0"/>
        <v>Algorithms part 2::8::Perform an insertion sort to order a list containing sample data</v>
      </c>
      <c r="F24" s="96" t="s">
        <v>954</v>
      </c>
      <c r="G24" s="96" t="s">
        <v>234</v>
      </c>
      <c r="H24" s="96" t="s">
        <v>96</v>
      </c>
    </row>
    <row r="25" spans="1:8" ht="15.75" customHeight="1">
      <c r="A25" s="96" t="s">
        <v>1066</v>
      </c>
      <c r="B25" s="96" t="s">
        <v>1076</v>
      </c>
      <c r="C25" s="96">
        <v>9</v>
      </c>
      <c r="D25" s="96" t="s">
        <v>1092</v>
      </c>
      <c r="E25" s="96" t="str">
        <f t="shared" si="0"/>
        <v>Algorithms part 2::9::Interpret the code for bubble sort and insertion sort</v>
      </c>
      <c r="F25" s="96" t="s">
        <v>954</v>
      </c>
      <c r="G25" s="96" t="s">
        <v>234</v>
      </c>
      <c r="H25" s="96" t="s">
        <v>96</v>
      </c>
    </row>
    <row r="26" spans="1:8" ht="15.75" customHeight="1">
      <c r="A26" s="96" t="s">
        <v>1066</v>
      </c>
      <c r="B26" s="96" t="s">
        <v>1076</v>
      </c>
      <c r="C26" s="96">
        <v>9</v>
      </c>
      <c r="D26" s="96" t="s">
        <v>1093</v>
      </c>
      <c r="E26" s="96" t="str">
        <f t="shared" si="0"/>
        <v>Algorithms part 2::9::Trace code for both sorting algorithms with input data</v>
      </c>
      <c r="F26" s="96" t="s">
        <v>954</v>
      </c>
      <c r="G26" s="96" t="s">
        <v>234</v>
      </c>
      <c r="H26" s="96" t="s">
        <v>96</v>
      </c>
    </row>
    <row r="27" spans="1:8" ht="15.75" customHeight="1">
      <c r="A27" s="96" t="s">
        <v>1066</v>
      </c>
      <c r="B27" s="96" t="s">
        <v>1076</v>
      </c>
      <c r="C27" s="96">
        <v>9</v>
      </c>
      <c r="D27" s="96" t="s">
        <v>1094</v>
      </c>
      <c r="E27" s="96" t="str">
        <f t="shared" si="0"/>
        <v>Algorithms part 2::9::Identify factors that could influence the efficiency of a bubble sort implementation</v>
      </c>
      <c r="F27" s="96" t="s">
        <v>954</v>
      </c>
      <c r="G27" s="96" t="s">
        <v>24</v>
      </c>
      <c r="H27" s="96" t="s">
        <v>96</v>
      </c>
    </row>
    <row r="28" spans="1:8" ht="15.75" customHeight="1">
      <c r="A28" s="96" t="s">
        <v>1066</v>
      </c>
      <c r="B28" s="96" t="s">
        <v>1076</v>
      </c>
      <c r="C28" s="96">
        <v>10</v>
      </c>
      <c r="D28" s="96" t="s">
        <v>1095</v>
      </c>
      <c r="E28" s="96" t="str">
        <f t="shared" si="0"/>
        <v>Algorithms part 2::10::Merge two ordered lists of items into a new ordered list</v>
      </c>
      <c r="F28" s="96" t="s">
        <v>954</v>
      </c>
      <c r="G28" s="96" t="s">
        <v>24</v>
      </c>
      <c r="H28" s="96" t="s">
        <v>96</v>
      </c>
    </row>
    <row r="29" spans="1:8" ht="15.75" customHeight="1">
      <c r="A29" s="96" t="s">
        <v>1066</v>
      </c>
      <c r="B29" s="96" t="s">
        <v>1076</v>
      </c>
      <c r="C29" s="96">
        <v>10</v>
      </c>
      <c r="D29" s="96" t="s">
        <v>1096</v>
      </c>
      <c r="E29" s="96" t="str">
        <f t="shared" si="0"/>
        <v>Algorithms part 2::10::Describe how merge sort is used for ordering a list of items</v>
      </c>
      <c r="F29" s="96" t="s">
        <v>954</v>
      </c>
      <c r="G29" s="96" t="s">
        <v>24</v>
      </c>
      <c r="H29" s="96" t="s">
        <v>96</v>
      </c>
    </row>
    <row r="30" spans="1:8" ht="15.75" customHeight="1">
      <c r="A30" s="96" t="s">
        <v>1066</v>
      </c>
      <c r="B30" s="96" t="s">
        <v>1076</v>
      </c>
      <c r="C30" s="96">
        <v>10</v>
      </c>
      <c r="D30" s="96" t="s">
        <v>1097</v>
      </c>
      <c r="E30" s="96" t="str">
        <f t="shared" si="0"/>
        <v>Algorithms part 2::10::Perform a merge sort to order a list containing sample data</v>
      </c>
      <c r="F30" s="96" t="s">
        <v>954</v>
      </c>
      <c r="G30" s="96" t="s">
        <v>24</v>
      </c>
      <c r="H30" s="96" t="s">
        <v>96</v>
      </c>
    </row>
    <row r="31" spans="1:8" ht="15.75" customHeight="1">
      <c r="A31" s="96" t="s">
        <v>1066</v>
      </c>
      <c r="B31" s="96" t="s">
        <v>1076</v>
      </c>
      <c r="C31" s="96">
        <v>11</v>
      </c>
      <c r="D31" s="96" t="s">
        <v>1098</v>
      </c>
      <c r="E31" s="96" t="str">
        <f t="shared" si="0"/>
        <v>Algorithms part 2::11::Interpret algorithms and suggest improvements</v>
      </c>
      <c r="F31" s="96" t="s">
        <v>954</v>
      </c>
      <c r="G31" s="96" t="s">
        <v>148</v>
      </c>
      <c r="H31" s="96" t="s">
        <v>96</v>
      </c>
    </row>
    <row r="32" spans="1:8" ht="15.75" customHeight="1">
      <c r="A32" s="96" t="s">
        <v>1066</v>
      </c>
      <c r="B32" s="96" t="s">
        <v>1076</v>
      </c>
      <c r="C32" s="96">
        <v>11</v>
      </c>
      <c r="D32" s="96" t="s">
        <v>1099</v>
      </c>
      <c r="E32" s="96" t="str">
        <f t="shared" si="0"/>
        <v>Algorithms part 2::11::Analyse and fix errors in a flowchart</v>
      </c>
      <c r="F32" s="96" t="s">
        <v>954</v>
      </c>
      <c r="G32" s="96" t="s">
        <v>24</v>
      </c>
      <c r="H32" s="96" t="s">
        <v>96</v>
      </c>
    </row>
    <row r="33" spans="1:8" ht="15.75" customHeight="1">
      <c r="A33" s="96" t="s">
        <v>1066</v>
      </c>
      <c r="B33" s="96" t="s">
        <v>1076</v>
      </c>
      <c r="C33" s="96">
        <v>11</v>
      </c>
      <c r="D33" s="96" t="s">
        <v>1100</v>
      </c>
      <c r="E33" s="96" t="str">
        <f t="shared" si="0"/>
        <v>Algorithms part 2::11::Perform searching and sorting algorithms on samples of data</v>
      </c>
      <c r="F33" s="96" t="s">
        <v>954</v>
      </c>
      <c r="G33" s="96" t="s">
        <v>234</v>
      </c>
      <c r="H33" s="96" t="s">
        <v>96</v>
      </c>
    </row>
    <row r="34" spans="1:8" ht="15.75" customHeight="1">
      <c r="A34" s="96" t="s">
        <v>1066</v>
      </c>
      <c r="B34" s="96" t="s">
        <v>1076</v>
      </c>
      <c r="C34" s="96">
        <v>12</v>
      </c>
      <c r="D34" s="96" t="s">
        <v>1101</v>
      </c>
      <c r="E34" s="96" t="str">
        <f t="shared" si="0"/>
        <v>Algorithms part 2::12::Develop a linear search function in Python</v>
      </c>
      <c r="F34" s="96" t="s">
        <v>954</v>
      </c>
      <c r="G34" s="96" t="s">
        <v>234</v>
      </c>
      <c r="H34" s="96" t="s">
        <v>96</v>
      </c>
    </row>
    <row r="35" spans="1:8" ht="15.75" customHeight="1">
      <c r="A35" s="96" t="s">
        <v>1066</v>
      </c>
      <c r="B35" s="96" t="s">
        <v>1076</v>
      </c>
      <c r="C35" s="96">
        <v>12</v>
      </c>
      <c r="D35" s="96" t="s">
        <v>1102</v>
      </c>
      <c r="E35" s="96" t="str">
        <f t="shared" si="0"/>
        <v>Algorithms part 2::12::Complete the end of unit assessment</v>
      </c>
      <c r="F35" s="96" t="s">
        <v>954</v>
      </c>
      <c r="G35" s="96" t="s">
        <v>234</v>
      </c>
      <c r="H35" s="96" t="s">
        <v>96</v>
      </c>
    </row>
    <row r="36" spans="1:8" ht="15.75" customHeight="1">
      <c r="A36" s="96" t="s">
        <v>1066</v>
      </c>
      <c r="B36" s="96" t="s">
        <v>61</v>
      </c>
      <c r="C36" s="96">
        <v>1</v>
      </c>
      <c r="D36" s="96" t="s">
        <v>1103</v>
      </c>
      <c r="E36" s="96" t="str">
        <f t="shared" si="0"/>
        <v>Computer systems::1::Understand the difference between embedded and general purpose computer systems</v>
      </c>
      <c r="F36" s="96" t="s">
        <v>1104</v>
      </c>
      <c r="G36" s="96" t="s">
        <v>18</v>
      </c>
      <c r="H36" s="96" t="s">
        <v>96</v>
      </c>
    </row>
    <row r="37" spans="1:8" ht="15.75" customHeight="1">
      <c r="A37" s="96" t="s">
        <v>1066</v>
      </c>
      <c r="B37" s="96" t="s">
        <v>61</v>
      </c>
      <c r="C37" s="96">
        <v>1</v>
      </c>
      <c r="D37" s="96" t="s">
        <v>1105</v>
      </c>
      <c r="E37" s="96" t="str">
        <f t="shared" si="0"/>
        <v>Computer systems::1::Describe the role of system software as part of a computer system</v>
      </c>
      <c r="F37" s="96" t="s">
        <v>1104</v>
      </c>
      <c r="G37" s="96" t="s">
        <v>18</v>
      </c>
      <c r="H37" s="96" t="s">
        <v>96</v>
      </c>
    </row>
    <row r="38" spans="1:8" ht="15.75" customHeight="1">
      <c r="A38" s="96" t="s">
        <v>1066</v>
      </c>
      <c r="B38" s="96" t="s">
        <v>61</v>
      </c>
      <c r="C38" s="96">
        <v>1</v>
      </c>
      <c r="D38" s="96" t="s">
        <v>1106</v>
      </c>
      <c r="E38" s="96" t="str">
        <f t="shared" si="0"/>
        <v>Computer systems::1::Explore the role of the operating system and utility software</v>
      </c>
      <c r="F38" s="96" t="s">
        <v>1104</v>
      </c>
      <c r="G38" s="96" t="s">
        <v>18</v>
      </c>
      <c r="H38" s="96" t="s">
        <v>96</v>
      </c>
    </row>
    <row r="39" spans="1:8" ht="15.75" customHeight="1">
      <c r="A39" s="96" t="s">
        <v>1066</v>
      </c>
      <c r="B39" s="96" t="s">
        <v>61</v>
      </c>
      <c r="C39" s="96">
        <v>2</v>
      </c>
      <c r="D39" s="96" t="s">
        <v>1107</v>
      </c>
      <c r="E39" s="96" t="str">
        <f t="shared" si="0"/>
        <v>Computer systems::2::Describe the basic components of the CPU</v>
      </c>
      <c r="F39" s="96" t="s">
        <v>1104</v>
      </c>
      <c r="G39" s="96" t="s">
        <v>18</v>
      </c>
      <c r="H39" s="96" t="s">
        <v>96</v>
      </c>
    </row>
    <row r="40" spans="1:8" ht="15.75" customHeight="1">
      <c r="A40" s="96" t="s">
        <v>1066</v>
      </c>
      <c r="B40" s="96" t="s">
        <v>61</v>
      </c>
      <c r="C40" s="96">
        <v>2</v>
      </c>
      <c r="D40" s="96" t="s">
        <v>1108</v>
      </c>
      <c r="E40" s="96" t="str">
        <f t="shared" si="0"/>
        <v>Computer systems::2::Understand the roles and purpose of each component of the CPU in computation</v>
      </c>
      <c r="F40" s="96" t="s">
        <v>1104</v>
      </c>
      <c r="G40" s="96" t="s">
        <v>18</v>
      </c>
      <c r="H40" s="96" t="s">
        <v>96</v>
      </c>
    </row>
    <row r="41" spans="1:8" ht="15.75" customHeight="1">
      <c r="A41" s="96" t="s">
        <v>1066</v>
      </c>
      <c r="B41" s="96" t="s">
        <v>61</v>
      </c>
      <c r="C41" s="96">
        <v>3</v>
      </c>
      <c r="D41" s="96" t="s">
        <v>1109</v>
      </c>
      <c r="E41" s="96" t="str">
        <f t="shared" si="0"/>
        <v>Computer systems::3::Explain how the fetch-decode-execute cycle works by describing what happens at each stage</v>
      </c>
      <c r="F41" s="96" t="s">
        <v>1104</v>
      </c>
      <c r="G41" s="96" t="s">
        <v>18</v>
      </c>
      <c r="H41" s="96" t="s">
        <v>96</v>
      </c>
    </row>
    <row r="42" spans="1:8" ht="15.75" customHeight="1">
      <c r="A42" s="96" t="s">
        <v>1066</v>
      </c>
      <c r="B42" s="96" t="s">
        <v>61</v>
      </c>
      <c r="C42" s="96">
        <v>3</v>
      </c>
      <c r="D42" s="96" t="s">
        <v>1110</v>
      </c>
      <c r="E42" s="96" t="str">
        <f t="shared" si="0"/>
        <v>Computer systems::3::Describe the role of each part of the CPU as part of the fetch-decode-execute cycle</v>
      </c>
      <c r="F42" s="96" t="s">
        <v>1104</v>
      </c>
      <c r="G42" s="96" t="s">
        <v>18</v>
      </c>
      <c r="H42" s="96" t="s">
        <v>96</v>
      </c>
    </row>
    <row r="43" spans="1:8" ht="15.75" customHeight="1">
      <c r="A43" s="96" t="s">
        <v>1066</v>
      </c>
      <c r="B43" s="96" t="s">
        <v>61</v>
      </c>
      <c r="C43" s="96">
        <v>4</v>
      </c>
      <c r="D43" s="96" t="s">
        <v>1111</v>
      </c>
      <c r="E43" s="96" t="str">
        <f t="shared" si="0"/>
        <v>Computer systems::4::Describe the characteristics of RAM and ROM</v>
      </c>
      <c r="F43" s="96" t="s">
        <v>1104</v>
      </c>
      <c r="G43" s="96" t="s">
        <v>18</v>
      </c>
      <c r="H43" s="96" t="s">
        <v>96</v>
      </c>
    </row>
    <row r="44" spans="1:8" ht="15.75" customHeight="1">
      <c r="A44" s="96" t="s">
        <v>1066</v>
      </c>
      <c r="B44" s="96" t="s">
        <v>61</v>
      </c>
      <c r="C44" s="96">
        <v>4</v>
      </c>
      <c r="D44" s="96" t="s">
        <v>1112</v>
      </c>
      <c r="E44" s="96" t="str">
        <f t="shared" si="0"/>
        <v>Computer systems::4::Explain the role of main memory as part of a computer system</v>
      </c>
      <c r="F44" s="96" t="s">
        <v>1104</v>
      </c>
      <c r="G44" s="96" t="s">
        <v>18</v>
      </c>
      <c r="H44" s="96" t="s">
        <v>96</v>
      </c>
    </row>
    <row r="45" spans="1:8" ht="15.75" customHeight="1">
      <c r="A45" s="96" t="s">
        <v>1066</v>
      </c>
      <c r="B45" s="96" t="s">
        <v>61</v>
      </c>
      <c r="C45" s="96">
        <v>4</v>
      </c>
      <c r="D45" s="96" t="s">
        <v>1113</v>
      </c>
      <c r="E45" s="96" t="str">
        <f t="shared" si="0"/>
        <v>Computer systems::4::Define cache memory</v>
      </c>
      <c r="F45" s="96" t="s">
        <v>1104</v>
      </c>
      <c r="G45" s="96" t="s">
        <v>18</v>
      </c>
      <c r="H45" s="96" t="s">
        <v>96</v>
      </c>
    </row>
    <row r="46" spans="1:8" ht="15.75" customHeight="1">
      <c r="A46" s="96" t="s">
        <v>1066</v>
      </c>
      <c r="B46" s="96" t="s">
        <v>61</v>
      </c>
      <c r="C46" s="96">
        <v>4</v>
      </c>
      <c r="D46" s="96" t="s">
        <v>1114</v>
      </c>
      <c r="E46" s="96" t="str">
        <f t="shared" si="0"/>
        <v>Computer systems::4::Describe the role of cache in a computer system</v>
      </c>
      <c r="F46" s="96" t="s">
        <v>1104</v>
      </c>
      <c r="G46" s="96" t="s">
        <v>18</v>
      </c>
      <c r="H46" s="96" t="s">
        <v>96</v>
      </c>
    </row>
    <row r="47" spans="1:8" ht="15.75" customHeight="1">
      <c r="A47" s="96" t="s">
        <v>1066</v>
      </c>
      <c r="B47" s="96" t="s">
        <v>61</v>
      </c>
      <c r="C47" s="96">
        <v>5</v>
      </c>
      <c r="D47" s="96" t="s">
        <v>1115</v>
      </c>
      <c r="E47" s="96" t="str">
        <f t="shared" si="0"/>
        <v>Computer systems::5::Explain why a computer system needs secondary storage</v>
      </c>
      <c r="F47" s="96" t="s">
        <v>1104</v>
      </c>
      <c r="G47" s="96" t="s">
        <v>18</v>
      </c>
      <c r="H47" s="96" t="s">
        <v>96</v>
      </c>
    </row>
    <row r="48" spans="1:8" ht="13">
      <c r="A48" s="96" t="s">
        <v>1066</v>
      </c>
      <c r="B48" s="96" t="s">
        <v>61</v>
      </c>
      <c r="C48" s="96">
        <v>5</v>
      </c>
      <c r="D48" s="96" t="s">
        <v>1116</v>
      </c>
      <c r="E48" s="96" t="str">
        <f t="shared" si="0"/>
        <v>Computer systems::5::State the different types of secondary storage and describe their functional characteristics</v>
      </c>
      <c r="F48" s="96" t="s">
        <v>1104</v>
      </c>
      <c r="G48" s="96" t="s">
        <v>18</v>
      </c>
      <c r="H48" s="96" t="s">
        <v>96</v>
      </c>
    </row>
    <row r="49" spans="1:8" ht="13">
      <c r="A49" s="96" t="s">
        <v>1066</v>
      </c>
      <c r="B49" s="96" t="s">
        <v>61</v>
      </c>
      <c r="C49" s="96">
        <v>5</v>
      </c>
      <c r="D49" s="96" t="s">
        <v>1117</v>
      </c>
      <c r="E49" s="96" t="str">
        <f t="shared" si="0"/>
        <v>Computer systems::5::State how solid-state memory works and describe its characteristics</v>
      </c>
      <c r="F49" s="96" t="s">
        <v>1104</v>
      </c>
      <c r="G49" s="96" t="s">
        <v>18</v>
      </c>
      <c r="H49" s="96" t="s">
        <v>96</v>
      </c>
    </row>
    <row r="50" spans="1:8" ht="13">
      <c r="A50" s="96" t="s">
        <v>1066</v>
      </c>
      <c r="B50" s="96" t="s">
        <v>61</v>
      </c>
      <c r="C50" s="96">
        <v>6</v>
      </c>
      <c r="D50" s="96" t="s">
        <v>1118</v>
      </c>
      <c r="E50" s="96" t="str">
        <f t="shared" si="0"/>
        <v>Computer systems::6::Explain how optical and magnetic memory stores data in the form of binary</v>
      </c>
      <c r="F50" s="96" t="s">
        <v>1104</v>
      </c>
      <c r="G50" s="96" t="s">
        <v>18</v>
      </c>
      <c r="H50" s="96" t="s">
        <v>96</v>
      </c>
    </row>
    <row r="51" spans="1:8" ht="13">
      <c r="A51" s="96" t="s">
        <v>1066</v>
      </c>
      <c r="B51" s="96" t="s">
        <v>61</v>
      </c>
      <c r="C51" s="96">
        <v>6</v>
      </c>
      <c r="D51" s="96" t="s">
        <v>1119</v>
      </c>
      <c r="E51" s="96" t="str">
        <f t="shared" si="0"/>
        <v>Computer systems::6::Describe how data is read from and written to optical and magnetic memory</v>
      </c>
      <c r="F51" s="96" t="s">
        <v>1104</v>
      </c>
      <c r="G51" s="96" t="s">
        <v>18</v>
      </c>
      <c r="H51" s="96" t="s">
        <v>96</v>
      </c>
    </row>
    <row r="52" spans="1:8" ht="13">
      <c r="A52" s="96" t="s">
        <v>1066</v>
      </c>
      <c r="B52" s="96" t="s">
        <v>61</v>
      </c>
      <c r="C52" s="96">
        <v>6</v>
      </c>
      <c r="D52" s="96" t="s">
        <v>1120</v>
      </c>
      <c r="E52" s="96" t="str">
        <f t="shared" si="0"/>
        <v>Computer systems::6::Apply knowledge of storage devices to compare the three mediums of storage</v>
      </c>
      <c r="F52" s="96" t="s">
        <v>1104</v>
      </c>
      <c r="G52" s="96" t="s">
        <v>18</v>
      </c>
      <c r="H52" s="96" t="s">
        <v>96</v>
      </c>
    </row>
    <row r="53" spans="1:8" ht="13">
      <c r="A53" s="96" t="s">
        <v>1066</v>
      </c>
      <c r="B53" s="96" t="s">
        <v>61</v>
      </c>
      <c r="C53" s="96">
        <v>7</v>
      </c>
      <c r="D53" s="96" t="s">
        <v>1121</v>
      </c>
      <c r="E53" s="96" t="str">
        <f t="shared" si="0"/>
        <v>Computer systems::7::Apply the knowledge of storage devices to recommend an appropriate device</v>
      </c>
      <c r="F53" s="96" t="s">
        <v>1104</v>
      </c>
      <c r="G53" s="96" t="s">
        <v>18</v>
      </c>
      <c r="H53" s="96" t="s">
        <v>96</v>
      </c>
    </row>
    <row r="54" spans="1:8" ht="13">
      <c r="A54" s="96" t="s">
        <v>1066</v>
      </c>
      <c r="B54" s="96" t="s">
        <v>61</v>
      </c>
      <c r="C54" s="96">
        <v>7</v>
      </c>
      <c r="D54" s="96" t="s">
        <v>1122</v>
      </c>
      <c r="E54" s="96" t="str">
        <f t="shared" si="0"/>
        <v>Computer systems::7::Describe the limitations of secondary storage</v>
      </c>
      <c r="F54" s="96" t="s">
        <v>1104</v>
      </c>
      <c r="G54" s="96" t="s">
        <v>18</v>
      </c>
      <c r="H54" s="96" t="s">
        <v>96</v>
      </c>
    </row>
    <row r="55" spans="1:8" ht="13">
      <c r="A55" s="96" t="s">
        <v>1066</v>
      </c>
      <c r="B55" s="96" t="s">
        <v>61</v>
      </c>
      <c r="C55" s="96">
        <v>7</v>
      </c>
      <c r="D55" s="96" t="s">
        <v>1123</v>
      </c>
      <c r="E55" s="96" t="str">
        <f t="shared" si="0"/>
        <v>Computer systems::7::Explain the definition of ‘cloud storage’ and describe the characteristics of cloud storage</v>
      </c>
      <c r="F55" s="96" t="s">
        <v>1104</v>
      </c>
      <c r="G55" s="96" t="s">
        <v>265</v>
      </c>
      <c r="H55" s="96" t="s">
        <v>96</v>
      </c>
    </row>
    <row r="56" spans="1:8" ht="13">
      <c r="A56" s="96" t="s">
        <v>1066</v>
      </c>
      <c r="B56" s="96" t="s">
        <v>61</v>
      </c>
      <c r="C56" s="96">
        <v>8</v>
      </c>
      <c r="D56" s="96" t="s">
        <v>1124</v>
      </c>
      <c r="E56" s="96" t="str">
        <f t="shared" si="0"/>
        <v>Computer systems::8::Explore the factors that impact a CPU’s performance</v>
      </c>
      <c r="F56" s="96" t="s">
        <v>1104</v>
      </c>
      <c r="G56" s="96" t="s">
        <v>18</v>
      </c>
      <c r="H56" s="96" t="s">
        <v>96</v>
      </c>
    </row>
    <row r="57" spans="1:8" ht="13">
      <c r="A57" s="96" t="s">
        <v>1066</v>
      </c>
      <c r="B57" s="96" t="s">
        <v>61</v>
      </c>
      <c r="C57" s="96">
        <v>8</v>
      </c>
      <c r="D57" s="96" t="s">
        <v>1125</v>
      </c>
      <c r="E57" s="96" t="str">
        <f t="shared" si="0"/>
        <v>Computer systems::8::Select components to create a computer system</v>
      </c>
      <c r="F57" s="96" t="s">
        <v>1104</v>
      </c>
      <c r="G57" s="96" t="s">
        <v>891</v>
      </c>
      <c r="H57" s="96" t="s">
        <v>96</v>
      </c>
    </row>
    <row r="58" spans="1:8" ht="13">
      <c r="A58" s="96" t="s">
        <v>1066</v>
      </c>
      <c r="B58" s="96" t="s">
        <v>61</v>
      </c>
      <c r="C58" s="96">
        <v>8</v>
      </c>
      <c r="D58" s="96" t="s">
        <v>1126</v>
      </c>
      <c r="E58" s="96" t="str">
        <f t="shared" si="0"/>
        <v>Computer systems::8::Evaluate a computer’s suitability for a given task</v>
      </c>
      <c r="F58" s="96" t="s">
        <v>1104</v>
      </c>
      <c r="G58" s="96" t="s">
        <v>891</v>
      </c>
      <c r="H58" s="96" t="s">
        <v>96</v>
      </c>
    </row>
    <row r="59" spans="1:8" ht="13">
      <c r="A59" s="96" t="s">
        <v>1066</v>
      </c>
      <c r="B59" s="96" t="s">
        <v>61</v>
      </c>
      <c r="C59" s="96">
        <v>9</v>
      </c>
      <c r="D59" s="96" t="s">
        <v>1127</v>
      </c>
      <c r="E59" s="96" t="str">
        <f t="shared" si="0"/>
        <v>Computer systems::9::Revise computer systems content covered so far</v>
      </c>
      <c r="F59" s="96" t="s">
        <v>1104</v>
      </c>
      <c r="G59" s="96" t="s">
        <v>18</v>
      </c>
      <c r="H59" s="96" t="s">
        <v>96</v>
      </c>
    </row>
    <row r="60" spans="1:8" ht="13">
      <c r="A60" s="96" t="s">
        <v>1066</v>
      </c>
      <c r="B60" s="96" t="s">
        <v>61</v>
      </c>
      <c r="C60" s="96">
        <v>9</v>
      </c>
      <c r="D60" s="96" t="s">
        <v>1128</v>
      </c>
      <c r="E60" s="96" t="str">
        <f t="shared" si="0"/>
        <v>Computer systems::9::Design and implement a software project</v>
      </c>
      <c r="F60" s="96" t="s">
        <v>1104</v>
      </c>
      <c r="G60" s="96" t="s">
        <v>891</v>
      </c>
      <c r="H60" s="96" t="s">
        <v>96</v>
      </c>
    </row>
    <row r="61" spans="1:8" ht="13">
      <c r="A61" s="96" t="s">
        <v>1066</v>
      </c>
      <c r="B61" s="96" t="s">
        <v>61</v>
      </c>
      <c r="C61" s="96">
        <v>10</v>
      </c>
      <c r="D61" s="96" t="s">
        <v>1129</v>
      </c>
      <c r="E61" s="96" t="str">
        <f t="shared" si="0"/>
        <v>Computer systems::10::Discover the logic gates AND, NOT, and OR, including their symbols and truth tables</v>
      </c>
      <c r="F61" s="96" t="s">
        <v>1104</v>
      </c>
      <c r="G61" s="96" t="s">
        <v>1130</v>
      </c>
      <c r="H61" s="96" t="s">
        <v>96</v>
      </c>
    </row>
    <row r="62" spans="1:8" ht="13">
      <c r="A62" s="96" t="s">
        <v>1066</v>
      </c>
      <c r="B62" s="96" t="s">
        <v>61</v>
      </c>
      <c r="C62" s="96">
        <v>10</v>
      </c>
      <c r="D62" s="96" t="s">
        <v>1131</v>
      </c>
      <c r="E62" s="96" t="str">
        <f t="shared" si="0"/>
        <v>Computer systems::10::Learn how logic gates are used in carrying out computation</v>
      </c>
      <c r="F62" s="96" t="s">
        <v>1104</v>
      </c>
      <c r="G62" s="96" t="s">
        <v>1130</v>
      </c>
      <c r="H62" s="96" t="s">
        <v>96</v>
      </c>
    </row>
    <row r="63" spans="1:8" ht="13">
      <c r="A63" s="96" t="s">
        <v>1066</v>
      </c>
      <c r="B63" s="96" t="s">
        <v>61</v>
      </c>
      <c r="C63" s="96">
        <v>10</v>
      </c>
      <c r="D63" s="96" t="s">
        <v>1132</v>
      </c>
      <c r="E63" s="96" t="str">
        <f t="shared" si="0"/>
        <v>Computer systems::10::Design a logical circuit, combining logic gates to solve a problem</v>
      </c>
      <c r="F63" s="96" t="s">
        <v>1104</v>
      </c>
      <c r="G63" s="96" t="s">
        <v>1130</v>
      </c>
      <c r="H63" s="96" t="s">
        <v>96</v>
      </c>
    </row>
    <row r="64" spans="1:8" ht="13">
      <c r="A64" s="96" t="s">
        <v>1066</v>
      </c>
      <c r="B64" s="96" t="s">
        <v>61</v>
      </c>
      <c r="C64" s="96">
        <v>11</v>
      </c>
      <c r="D64" s="96" t="s">
        <v>1133</v>
      </c>
      <c r="E64" s="96" t="str">
        <f t="shared" si="0"/>
        <v>Computer systems::11::Construct truth tables for a three-input logic circuit</v>
      </c>
      <c r="F64" s="96" t="s">
        <v>1104</v>
      </c>
      <c r="G64" s="96" t="s">
        <v>1130</v>
      </c>
      <c r="H64" s="96" t="s">
        <v>96</v>
      </c>
    </row>
    <row r="65" spans="1:8" ht="13">
      <c r="A65" s="96" t="s">
        <v>1066</v>
      </c>
      <c r="B65" s="96" t="s">
        <v>61</v>
      </c>
      <c r="C65" s="96">
        <v>11</v>
      </c>
      <c r="D65" s="96" t="s">
        <v>1134</v>
      </c>
      <c r="E65" s="96" t="str">
        <f t="shared" si="0"/>
        <v>Computer systems::11::Write a Boolean expression to describe a logical circuit</v>
      </c>
      <c r="F65" s="96" t="s">
        <v>1104</v>
      </c>
      <c r="G65" s="96" t="s">
        <v>1130</v>
      </c>
      <c r="H65" s="96" t="s">
        <v>96</v>
      </c>
    </row>
    <row r="66" spans="1:8" ht="13">
      <c r="A66" s="96" t="s">
        <v>1066</v>
      </c>
      <c r="B66" s="96" t="s">
        <v>61</v>
      </c>
      <c r="C66" s="96">
        <v>11</v>
      </c>
      <c r="D66" s="96" t="s">
        <v>1135</v>
      </c>
      <c r="E66" s="96" t="str">
        <f t="shared" si="0"/>
        <v>Computer systems::11::Describe how combinations of logic gates can perform mathematical operations</v>
      </c>
      <c r="F66" s="96" t="s">
        <v>1104</v>
      </c>
      <c r="G66" s="96" t="s">
        <v>1130</v>
      </c>
      <c r="H66" s="96" t="s">
        <v>96</v>
      </c>
    </row>
    <row r="67" spans="1:8" ht="13">
      <c r="A67" s="96" t="s">
        <v>1066</v>
      </c>
      <c r="B67" s="96" t="s">
        <v>61</v>
      </c>
      <c r="C67" s="96">
        <v>12</v>
      </c>
      <c r="D67" s="96" t="s">
        <v>1136</v>
      </c>
      <c r="E67" s="96" t="str">
        <f t="shared" si="0"/>
        <v>Computer systems::12::Explain the basic commands in the LMC’s assembly code: INP, OUT, STA, LDA, ADD, SUB, and BRP</v>
      </c>
      <c r="F67" s="96" t="s">
        <v>1104</v>
      </c>
      <c r="G67" s="96" t="s">
        <v>496</v>
      </c>
      <c r="H67" s="96" t="s">
        <v>96</v>
      </c>
    </row>
    <row r="68" spans="1:8" ht="13">
      <c r="A68" s="96" t="s">
        <v>1066</v>
      </c>
      <c r="B68" s="96" t="s">
        <v>61</v>
      </c>
      <c r="C68" s="96">
        <v>12</v>
      </c>
      <c r="D68" s="96" t="s">
        <v>1137</v>
      </c>
      <c r="E68" s="96" t="str">
        <f t="shared" si="0"/>
        <v>Computer systems::12::Determine that assembly language has a 1:1 relationship with machine code</v>
      </c>
      <c r="F68" s="96" t="s">
        <v>1104</v>
      </c>
      <c r="G68" s="96" t="s">
        <v>18</v>
      </c>
      <c r="H68" s="96" t="s">
        <v>96</v>
      </c>
    </row>
    <row r="69" spans="1:8" ht="13">
      <c r="A69" s="96" t="s">
        <v>1066</v>
      </c>
      <c r="B69" s="96" t="s">
        <v>61</v>
      </c>
      <c r="C69" s="96">
        <v>13</v>
      </c>
      <c r="D69" s="96" t="s">
        <v>1138</v>
      </c>
      <c r="E69" s="96" t="str">
        <f t="shared" si="0"/>
        <v>Computer systems::13::Design and write your own program in assembly language</v>
      </c>
      <c r="F69" s="96" t="s">
        <v>1104</v>
      </c>
      <c r="G69" s="96" t="s">
        <v>496</v>
      </c>
      <c r="H69" s="96" t="s">
        <v>96</v>
      </c>
    </row>
    <row r="70" spans="1:8" ht="13">
      <c r="A70" s="96" t="s">
        <v>1066</v>
      </c>
      <c r="B70" s="96" t="s">
        <v>63</v>
      </c>
      <c r="C70" s="96">
        <v>1</v>
      </c>
      <c r="D70" s="96" t="s">
        <v>1139</v>
      </c>
      <c r="E70" s="96" t="str">
        <f t="shared" si="0"/>
        <v>Cyber security::1::Define the terms cybersecurity and network security, explain their importance, and distinguish between the two</v>
      </c>
      <c r="F70" s="96" t="s">
        <v>1140</v>
      </c>
      <c r="G70" s="96" t="s">
        <v>170</v>
      </c>
      <c r="H70" s="96" t="s">
        <v>51</v>
      </c>
    </row>
    <row r="71" spans="1:8" ht="13">
      <c r="A71" s="96" t="s">
        <v>1066</v>
      </c>
      <c r="B71" s="96" t="s">
        <v>63</v>
      </c>
      <c r="C71" s="96">
        <v>1</v>
      </c>
      <c r="D71" s="96" t="s">
        <v>1141</v>
      </c>
      <c r="E71" s="96" t="str">
        <f t="shared" si="0"/>
        <v>Cyber security::1::Describe the features of a network that make it vulnerable to attack</v>
      </c>
      <c r="F71" s="96" t="s">
        <v>1140</v>
      </c>
      <c r="G71" s="96" t="s">
        <v>347</v>
      </c>
      <c r="H71" s="96" t="s">
        <v>51</v>
      </c>
    </row>
    <row r="72" spans="1:8" ht="13">
      <c r="A72" s="96" t="s">
        <v>1066</v>
      </c>
      <c r="B72" s="96" t="s">
        <v>63</v>
      </c>
      <c r="C72" s="96">
        <v>1</v>
      </c>
      <c r="D72" s="96" t="s">
        <v>1142</v>
      </c>
      <c r="E72" s="96" t="str">
        <f t="shared" si="0"/>
        <v>Cyber security::1::Describe the impact of cybercrime on businesses and individuals</v>
      </c>
      <c r="F72" s="96" t="s">
        <v>1140</v>
      </c>
      <c r="G72" s="96" t="s">
        <v>360</v>
      </c>
      <c r="H72" s="96" t="s">
        <v>51</v>
      </c>
    </row>
    <row r="73" spans="1:8" ht="13">
      <c r="A73" s="96" t="s">
        <v>1066</v>
      </c>
      <c r="B73" s="96" t="s">
        <v>63</v>
      </c>
      <c r="C73" s="96">
        <v>1</v>
      </c>
      <c r="D73" s="96" t="s">
        <v>1143</v>
      </c>
      <c r="E73" s="96" t="str">
        <f t="shared" si="0"/>
        <v>Cyber security::1::Analyse an attack on a company and identify what motivated the hackers</v>
      </c>
      <c r="F73" s="96" t="s">
        <v>1140</v>
      </c>
      <c r="G73" s="96" t="s">
        <v>170</v>
      </c>
      <c r="H73" s="96" t="s">
        <v>51</v>
      </c>
    </row>
    <row r="74" spans="1:8" ht="13">
      <c r="A74" s="96" t="s">
        <v>1066</v>
      </c>
      <c r="B74" s="96" t="s">
        <v>63</v>
      </c>
      <c r="C74" s="96">
        <v>2</v>
      </c>
      <c r="D74" s="96" t="s">
        <v>1144</v>
      </c>
      <c r="E74" s="96" t="str">
        <f t="shared" si="0"/>
        <v>Cyber security::2::Demonstrate knowledge of social engineering in role play and case studies</v>
      </c>
      <c r="F74" s="96" t="s">
        <v>1140</v>
      </c>
      <c r="G74" s="96" t="s">
        <v>170</v>
      </c>
      <c r="H74" s="96" t="s">
        <v>51</v>
      </c>
    </row>
    <row r="75" spans="1:8" ht="13">
      <c r="A75" s="96" t="s">
        <v>1066</v>
      </c>
      <c r="B75" s="96" t="s">
        <v>63</v>
      </c>
      <c r="C75" s="96">
        <v>2</v>
      </c>
      <c r="D75" s="96" t="s">
        <v>1145</v>
      </c>
      <c r="E75" s="96" t="str">
        <f t="shared" si="0"/>
        <v>Cyber security::2::Identify and describe non-automated forms of cyberattack and how humans can be the weak points in an organisation</v>
      </c>
      <c r="F75" s="96" t="s">
        <v>1140</v>
      </c>
      <c r="G75" s="96" t="s">
        <v>170</v>
      </c>
      <c r="H75" s="96" t="s">
        <v>51</v>
      </c>
    </row>
    <row r="76" spans="1:8" ht="13">
      <c r="A76" s="96" t="s">
        <v>1066</v>
      </c>
      <c r="B76" s="96" t="s">
        <v>63</v>
      </c>
      <c r="C76" s="96">
        <v>3</v>
      </c>
      <c r="D76" s="96" t="s">
        <v>1146</v>
      </c>
      <c r="E76" s="96" t="str">
        <f t="shared" si="0"/>
        <v>Cyber security::3::Analyse a real cyberattack and identify the network or software weaknesses that enabled it to happen</v>
      </c>
      <c r="F76" s="96" t="s">
        <v>1140</v>
      </c>
      <c r="G76" s="96" t="s">
        <v>170</v>
      </c>
      <c r="H76" s="96" t="s">
        <v>51</v>
      </c>
    </row>
    <row r="77" spans="1:8" ht="13">
      <c r="A77" s="96" t="s">
        <v>1066</v>
      </c>
      <c r="B77" s="96" t="s">
        <v>63</v>
      </c>
      <c r="C77" s="96">
        <v>3</v>
      </c>
      <c r="D77" s="96" t="s">
        <v>1147</v>
      </c>
      <c r="E77" s="96" t="str">
        <f t="shared" si="0"/>
        <v>Cyber security::3::Describe automated forms of cyberattack</v>
      </c>
      <c r="F77" s="96" t="s">
        <v>1140</v>
      </c>
      <c r="G77" s="96" t="s">
        <v>170</v>
      </c>
      <c r="H77" s="96" t="s">
        <v>51</v>
      </c>
    </row>
    <row r="78" spans="1:8" ht="13">
      <c r="A78" s="96" t="s">
        <v>1066</v>
      </c>
      <c r="B78" s="96" t="s">
        <v>63</v>
      </c>
      <c r="C78" s="96">
        <v>4</v>
      </c>
      <c r="D78" s="96" t="s">
        <v>1148</v>
      </c>
      <c r="E78" s="96" t="str">
        <f t="shared" si="0"/>
        <v>Cyber security::4::Describe ways in which organisations use software to protect against cyberattacks</v>
      </c>
      <c r="F78" s="96" t="s">
        <v>1140</v>
      </c>
      <c r="G78" s="96" t="s">
        <v>170</v>
      </c>
      <c r="H78" s="96" t="s">
        <v>51</v>
      </c>
    </row>
    <row r="79" spans="1:8" ht="13">
      <c r="A79" s="96" t="s">
        <v>1066</v>
      </c>
      <c r="B79" s="96" t="s">
        <v>63</v>
      </c>
      <c r="C79" s="96">
        <v>4</v>
      </c>
      <c r="D79" s="96" t="s">
        <v>1149</v>
      </c>
      <c r="E79" s="96" t="str">
        <f t="shared" si="0"/>
        <v>Cyber security::4::Identify how software can be used to protect from cyberattacks</v>
      </c>
      <c r="F79" s="96" t="s">
        <v>1140</v>
      </c>
      <c r="G79" s="96" t="s">
        <v>1150</v>
      </c>
      <c r="H79" s="96" t="s">
        <v>51</v>
      </c>
    </row>
    <row r="80" spans="1:8" ht="13">
      <c r="A80" s="96" t="s">
        <v>1066</v>
      </c>
      <c r="B80" s="96" t="s">
        <v>63</v>
      </c>
      <c r="C80" s="96">
        <v>5</v>
      </c>
      <c r="D80" s="96" t="s">
        <v>1151</v>
      </c>
      <c r="E80" s="96" t="str">
        <f t="shared" si="0"/>
        <v>Cyber security::5::Describe different ways to protect software systems and networks (2 of 2)</v>
      </c>
      <c r="F80" s="96" t="s">
        <v>1140</v>
      </c>
      <c r="G80" s="96" t="s">
        <v>170</v>
      </c>
      <c r="H80" s="96" t="s">
        <v>51</v>
      </c>
    </row>
    <row r="81" spans="1:8" ht="13">
      <c r="A81" s="96" t="s">
        <v>1066</v>
      </c>
      <c r="B81" s="96" t="s">
        <v>63</v>
      </c>
      <c r="C81" s="96">
        <v>5</v>
      </c>
      <c r="D81" s="96" t="s">
        <v>1152</v>
      </c>
      <c r="E81" s="96" t="str">
        <f t="shared" si="0"/>
        <v>Cyber security::5::Understand the need for, and importance of, network security</v>
      </c>
      <c r="F81" s="96" t="s">
        <v>1140</v>
      </c>
      <c r="G81" s="96" t="s">
        <v>347</v>
      </c>
      <c r="H81" s="96" t="s">
        <v>51</v>
      </c>
    </row>
    <row r="82" spans="1:8" ht="13">
      <c r="A82" s="96" t="s">
        <v>1066</v>
      </c>
      <c r="B82" s="96" t="s">
        <v>63</v>
      </c>
      <c r="C82" s="96">
        <v>5</v>
      </c>
      <c r="D82" s="96" t="s">
        <v>1153</v>
      </c>
      <c r="E82" s="96" t="str">
        <f t="shared" si="0"/>
        <v>Cyber security::5::Explain a number of methods of achieving network security</v>
      </c>
      <c r="F82" s="96" t="s">
        <v>1140</v>
      </c>
      <c r="G82" s="96" t="s">
        <v>170</v>
      </c>
      <c r="H82" s="96" t="s">
        <v>51</v>
      </c>
    </row>
    <row r="83" spans="1:8" ht="13">
      <c r="A83" s="96" t="s">
        <v>1066</v>
      </c>
      <c r="B83" s="96" t="s">
        <v>63</v>
      </c>
      <c r="C83" s="96">
        <v>6</v>
      </c>
      <c r="D83" s="96" t="s">
        <v>1154</v>
      </c>
      <c r="E83" s="96" t="str">
        <f t="shared" si="0"/>
        <v>Cyber security::6::Describe different methods of identifying cybersecurity vulnerabilities, such as: penetration testing, ethical hacking, network forensics, commercial analysis tools, review of network and user policies</v>
      </c>
      <c r="F83" s="96" t="s">
        <v>1140</v>
      </c>
      <c r="G83" s="96" t="s">
        <v>347</v>
      </c>
      <c r="H83" s="96" t="s">
        <v>51</v>
      </c>
    </row>
    <row r="84" spans="1:8" ht="13">
      <c r="A84" s="96" t="s">
        <v>1066</v>
      </c>
      <c r="B84" s="96" t="s">
        <v>63</v>
      </c>
      <c r="C84" s="96">
        <v>7</v>
      </c>
      <c r="D84" s="96" t="s">
        <v>1155</v>
      </c>
      <c r="E84" s="96" t="str">
        <f t="shared" si="0"/>
        <v>Cyber security::7::Evaluate the potential for cybersecurity careers</v>
      </c>
      <c r="F84" s="96" t="s">
        <v>1140</v>
      </c>
      <c r="G84" s="96" t="s">
        <v>360</v>
      </c>
      <c r="H84" s="96" t="s">
        <v>51</v>
      </c>
    </row>
    <row r="85" spans="1:8" ht="13">
      <c r="A85" s="96" t="s">
        <v>1066</v>
      </c>
      <c r="B85" s="96" t="s">
        <v>63</v>
      </c>
      <c r="C85" s="96">
        <v>7</v>
      </c>
      <c r="D85" s="96" t="s">
        <v>1156</v>
      </c>
      <c r="E85" s="96" t="str">
        <f t="shared" si="0"/>
        <v>Cyber security::7::Apply knowledge of cybersecurity to GCSE-style questions</v>
      </c>
      <c r="F85" s="96" t="s">
        <v>1140</v>
      </c>
      <c r="G85" s="96" t="s">
        <v>1157</v>
      </c>
      <c r="H85" s="96" t="s">
        <v>51</v>
      </c>
    </row>
    <row r="86" spans="1:8" ht="13">
      <c r="A86" s="96" t="s">
        <v>1066</v>
      </c>
      <c r="B86" s="96" t="s">
        <v>65</v>
      </c>
      <c r="C86" s="96">
        <v>1</v>
      </c>
      <c r="D86" s="96" t="s">
        <v>1158</v>
      </c>
      <c r="E86" s="96" t="str">
        <f t="shared" si="0"/>
        <v>Databases and SQL::1::Describe a database</v>
      </c>
      <c r="F86" s="96">
        <v>4.0999999999999996</v>
      </c>
      <c r="G86" s="96" t="s">
        <v>12</v>
      </c>
      <c r="H86" s="96" t="s">
        <v>96</v>
      </c>
    </row>
    <row r="87" spans="1:8" ht="13">
      <c r="A87" s="96" t="s">
        <v>1066</v>
      </c>
      <c r="B87" s="96" t="s">
        <v>65</v>
      </c>
      <c r="C87" s="96">
        <v>1</v>
      </c>
      <c r="D87" s="96" t="s">
        <v>1159</v>
      </c>
      <c r="E87" s="96" t="str">
        <f t="shared" si="0"/>
        <v>Databases and SQL::1::Define database key terms (table, record, field, primary key, foreign key)</v>
      </c>
      <c r="F87" s="96">
        <v>4.0999999999999996</v>
      </c>
      <c r="G87" s="96" t="s">
        <v>12</v>
      </c>
      <c r="H87" s="96" t="s">
        <v>96</v>
      </c>
    </row>
    <row r="88" spans="1:8" ht="13">
      <c r="A88" s="96" t="s">
        <v>1066</v>
      </c>
      <c r="B88" s="96" t="s">
        <v>65</v>
      </c>
      <c r="C88" s="96">
        <v>1</v>
      </c>
      <c r="D88" s="96" t="s">
        <v>1160</v>
      </c>
      <c r="E88" s="96" t="str">
        <f t="shared" si="0"/>
        <v>Databases and SQL::1::Describe a flat file database</v>
      </c>
      <c r="F88" s="96">
        <v>4.0999999999999996</v>
      </c>
      <c r="G88" s="96" t="s">
        <v>12</v>
      </c>
      <c r="H88" s="96" t="s">
        <v>96</v>
      </c>
    </row>
    <row r="89" spans="1:8" ht="13">
      <c r="A89" s="96" t="s">
        <v>1066</v>
      </c>
      <c r="B89" s="96" t="s">
        <v>65</v>
      </c>
      <c r="C89" s="96">
        <v>1</v>
      </c>
      <c r="D89" s="96" t="s">
        <v>1161</v>
      </c>
      <c r="E89" s="96" t="str">
        <f t="shared" si="0"/>
        <v>Databases and SQL::1::Describe a relational database</v>
      </c>
      <c r="F89" s="96">
        <v>4.0999999999999996</v>
      </c>
      <c r="G89" s="96" t="s">
        <v>12</v>
      </c>
      <c r="H89" s="96" t="s">
        <v>96</v>
      </c>
    </row>
    <row r="90" spans="1:8" ht="13">
      <c r="A90" s="96" t="s">
        <v>1066</v>
      </c>
      <c r="B90" s="96" t="s">
        <v>65</v>
      </c>
      <c r="C90" s="96">
        <v>2</v>
      </c>
      <c r="D90" s="96" t="s">
        <v>1162</v>
      </c>
      <c r="E90" s="96" t="str">
        <f t="shared" si="0"/>
        <v>Databases and SQL::2::Describe the function of SQL</v>
      </c>
      <c r="F90" s="96">
        <v>4.0999999999999996</v>
      </c>
      <c r="G90" s="96" t="s">
        <v>905</v>
      </c>
      <c r="H90" s="96" t="s">
        <v>96</v>
      </c>
    </row>
    <row r="91" spans="1:8" ht="13">
      <c r="A91" s="96" t="s">
        <v>1066</v>
      </c>
      <c r="B91" s="96" t="s">
        <v>65</v>
      </c>
      <c r="C91" s="96">
        <v>2</v>
      </c>
      <c r="D91" s="96" t="s">
        <v>1163</v>
      </c>
      <c r="E91" s="96" t="str">
        <f t="shared" si="0"/>
        <v>Databases and SQL::2::Use SQL to retrieve data from a table in a relational database</v>
      </c>
      <c r="F91" s="96">
        <v>4.0999999999999996</v>
      </c>
      <c r="G91" s="96" t="s">
        <v>905</v>
      </c>
      <c r="H91" s="96" t="s">
        <v>96</v>
      </c>
    </row>
    <row r="92" spans="1:8" ht="13">
      <c r="A92" s="96" t="s">
        <v>1066</v>
      </c>
      <c r="B92" s="96" t="s">
        <v>65</v>
      </c>
      <c r="C92" s="96">
        <v>2</v>
      </c>
      <c r="D92" s="96" t="s">
        <v>1164</v>
      </c>
      <c r="E92" s="96" t="str">
        <f t="shared" si="0"/>
        <v>Databases and SQL::2::Use SQL to retrieve data from more than one table in a relational database</v>
      </c>
      <c r="F92" s="96">
        <v>4.0999999999999996</v>
      </c>
      <c r="G92" s="96" t="s">
        <v>905</v>
      </c>
      <c r="H92" s="96" t="s">
        <v>96</v>
      </c>
    </row>
    <row r="93" spans="1:8" ht="13">
      <c r="A93" s="96" t="s">
        <v>1066</v>
      </c>
      <c r="B93" s="96" t="s">
        <v>65</v>
      </c>
      <c r="C93" s="96">
        <v>3</v>
      </c>
      <c r="D93" s="96" t="s">
        <v>1165</v>
      </c>
      <c r="E93" s="96" t="str">
        <f t="shared" si="0"/>
        <v>Databases and SQL::3::Describe the function of different data types.</v>
      </c>
      <c r="F93" s="96">
        <v>4.0999999999999996</v>
      </c>
      <c r="G93" s="96" t="s">
        <v>12</v>
      </c>
      <c r="H93" s="96" t="s">
        <v>96</v>
      </c>
    </row>
    <row r="94" spans="1:8" ht="13">
      <c r="A94" s="96" t="s">
        <v>1066</v>
      </c>
      <c r="B94" s="96" t="s">
        <v>65</v>
      </c>
      <c r="C94" s="96">
        <v>3</v>
      </c>
      <c r="D94" s="96" t="s">
        <v>1166</v>
      </c>
      <c r="E94" s="96" t="str">
        <f t="shared" si="0"/>
        <v>Databases and SQL::3::Use SQL to insert, update and delete data into a relational database</v>
      </c>
      <c r="F94" s="96">
        <v>4.0999999999999996</v>
      </c>
      <c r="G94" s="96" t="s">
        <v>905</v>
      </c>
      <c r="H94" s="96" t="s">
        <v>96</v>
      </c>
    </row>
    <row r="95" spans="1:8" ht="13">
      <c r="A95" s="96" t="s">
        <v>1066</v>
      </c>
      <c r="B95" s="96" t="s">
        <v>65</v>
      </c>
      <c r="C95" s="96">
        <v>4</v>
      </c>
      <c r="D95" s="96" t="s">
        <v>1167</v>
      </c>
      <c r="E95" s="96" t="str">
        <f t="shared" si="0"/>
        <v>Databases and SQL::4::Interrogate and update an existing database</v>
      </c>
      <c r="F95" s="96">
        <v>4.0999999999999996</v>
      </c>
      <c r="G95" s="96" t="s">
        <v>905</v>
      </c>
      <c r="H95" s="96" t="s">
        <v>96</v>
      </c>
    </row>
    <row r="96" spans="1:8" ht="13">
      <c r="A96" s="96" t="s">
        <v>1066</v>
      </c>
      <c r="B96" s="96" t="s">
        <v>65</v>
      </c>
      <c r="C96" s="96">
        <v>5</v>
      </c>
      <c r="D96" s="96" t="s">
        <v>1167</v>
      </c>
      <c r="E96" s="96" t="str">
        <f t="shared" si="0"/>
        <v>Databases and SQL::5::Interrogate and update an existing database</v>
      </c>
      <c r="F96" s="96">
        <v>4.0999999999999996</v>
      </c>
      <c r="G96" s="96" t="s">
        <v>905</v>
      </c>
      <c r="H96" s="96" t="s">
        <v>96</v>
      </c>
    </row>
    <row r="97" spans="1:8" ht="13">
      <c r="A97" s="96" t="s">
        <v>1066</v>
      </c>
      <c r="B97" s="96" t="s">
        <v>1168</v>
      </c>
      <c r="C97" s="96">
        <v>1</v>
      </c>
      <c r="D97" s="96" t="s">
        <v>1169</v>
      </c>
      <c r="E97" s="96" t="str">
        <f t="shared" si="0"/>
        <v>Data representations::1::Give examples of the use of representation</v>
      </c>
      <c r="F97" s="96" t="s">
        <v>954</v>
      </c>
      <c r="G97" s="96" t="s">
        <v>12</v>
      </c>
      <c r="H97" s="96" t="s">
        <v>96</v>
      </c>
    </row>
    <row r="98" spans="1:8" ht="13">
      <c r="A98" s="96" t="s">
        <v>1066</v>
      </c>
      <c r="B98" s="96" t="s">
        <v>1168</v>
      </c>
      <c r="C98" s="96">
        <v>1</v>
      </c>
      <c r="D98" s="96" t="s">
        <v>1170</v>
      </c>
      <c r="E98" s="96" t="str">
        <f t="shared" si="0"/>
        <v>Data representations::1::Explain how binary relates to two-state electrical signals</v>
      </c>
      <c r="F98" s="96" t="s">
        <v>954</v>
      </c>
      <c r="G98" s="96" t="s">
        <v>12</v>
      </c>
      <c r="H98" s="96" t="s">
        <v>96</v>
      </c>
    </row>
    <row r="99" spans="1:8" ht="13">
      <c r="A99" s="96" t="s">
        <v>1066</v>
      </c>
      <c r="B99" s="96" t="s">
        <v>1168</v>
      </c>
      <c r="C99" s="96">
        <v>2</v>
      </c>
      <c r="D99" s="96" t="s">
        <v>1171</v>
      </c>
      <c r="E99" s="96" t="str">
        <f t="shared" si="0"/>
        <v>Data representations::2::Work out what range of numbers can be stored in a specific number of bits</v>
      </c>
      <c r="F99" s="96" t="s">
        <v>954</v>
      </c>
      <c r="G99" s="96" t="s">
        <v>12</v>
      </c>
      <c r="H99" s="96" t="s">
        <v>96</v>
      </c>
    </row>
    <row r="100" spans="1:8" ht="13">
      <c r="A100" s="96" t="s">
        <v>1066</v>
      </c>
      <c r="B100" s="96" t="s">
        <v>1168</v>
      </c>
      <c r="C100" s="96">
        <v>2</v>
      </c>
      <c r="D100" s="96" t="s">
        <v>1172</v>
      </c>
      <c r="E100" s="96" t="str">
        <f t="shared" si="0"/>
        <v>Data representations::2::Explain the concept of a number base</v>
      </c>
      <c r="F100" s="96" t="s">
        <v>954</v>
      </c>
      <c r="G100" s="96" t="s">
        <v>12</v>
      </c>
      <c r="H100" s="96" t="s">
        <v>96</v>
      </c>
    </row>
    <row r="101" spans="1:8" ht="13">
      <c r="A101" s="96" t="s">
        <v>1066</v>
      </c>
      <c r="B101" s="96" t="s">
        <v>1168</v>
      </c>
      <c r="C101" s="96">
        <v>2</v>
      </c>
      <c r="D101" s="96" t="s">
        <v>1173</v>
      </c>
      <c r="E101" s="96" t="str">
        <f t="shared" si="0"/>
        <v>Data representations::2::Convert a positive binary integer to decimal</v>
      </c>
      <c r="F101" s="96" t="s">
        <v>954</v>
      </c>
      <c r="G101" s="96" t="s">
        <v>12</v>
      </c>
      <c r="H101" s="96" t="s">
        <v>96</v>
      </c>
    </row>
    <row r="102" spans="1:8" ht="13">
      <c r="A102" s="96" t="s">
        <v>1066</v>
      </c>
      <c r="B102" s="96" t="s">
        <v>1168</v>
      </c>
      <c r="C102" s="96">
        <v>2</v>
      </c>
      <c r="D102" s="96" t="s">
        <v>1174</v>
      </c>
      <c r="E102" s="96" t="str">
        <f t="shared" si="0"/>
        <v>Data representations::2::Convert a decimal number to binary</v>
      </c>
      <c r="F102" s="96" t="s">
        <v>954</v>
      </c>
      <c r="G102" s="96" t="s">
        <v>12</v>
      </c>
      <c r="H102" s="96" t="s">
        <v>96</v>
      </c>
    </row>
    <row r="103" spans="1:8" ht="13">
      <c r="A103" s="96" t="s">
        <v>1066</v>
      </c>
      <c r="B103" s="96" t="s">
        <v>1168</v>
      </c>
      <c r="C103" s="96">
        <v>2</v>
      </c>
      <c r="D103" s="96" t="s">
        <v>1175</v>
      </c>
      <c r="E103" s="96" t="str">
        <f t="shared" si="0"/>
        <v>Data representations::2::Define the term ‘bit’</v>
      </c>
      <c r="F103" s="96" t="s">
        <v>954</v>
      </c>
      <c r="G103" s="96" t="s">
        <v>12</v>
      </c>
      <c r="H103" s="96" t="s">
        <v>96</v>
      </c>
    </row>
    <row r="104" spans="1:8" ht="13">
      <c r="A104" s="96" t="s">
        <v>1066</v>
      </c>
      <c r="B104" s="96" t="s">
        <v>1168</v>
      </c>
      <c r="C104" s="96">
        <v>3</v>
      </c>
      <c r="D104" s="96" t="s">
        <v>1176</v>
      </c>
      <c r="E104" s="96" t="str">
        <f t="shared" si="0"/>
        <v>Data representations::3::Perform binary shifts (logical)</v>
      </c>
      <c r="F104" s="96" t="s">
        <v>954</v>
      </c>
      <c r="G104" s="96" t="s">
        <v>12</v>
      </c>
      <c r="H104" s="96" t="s">
        <v>96</v>
      </c>
    </row>
    <row r="105" spans="1:8" ht="13">
      <c r="A105" s="96" t="s">
        <v>1066</v>
      </c>
      <c r="B105" s="96" t="s">
        <v>1168</v>
      </c>
      <c r="C105" s="96">
        <v>3</v>
      </c>
      <c r="D105" s="96" t="s">
        <v>1177</v>
      </c>
      <c r="E105" s="96" t="str">
        <f t="shared" si="0"/>
        <v>Data representations::3::Perform binary addition</v>
      </c>
      <c r="F105" s="96" t="s">
        <v>954</v>
      </c>
      <c r="G105" s="96" t="s">
        <v>12</v>
      </c>
      <c r="H105" s="96" t="s">
        <v>96</v>
      </c>
    </row>
    <row r="106" spans="1:8" ht="13">
      <c r="A106" s="96" t="s">
        <v>1066</v>
      </c>
      <c r="B106" s="96" t="s">
        <v>1168</v>
      </c>
      <c r="C106" s="96">
        <v>3</v>
      </c>
      <c r="D106" s="96" t="s">
        <v>1178</v>
      </c>
      <c r="E106" s="96" t="str">
        <f t="shared" si="0"/>
        <v>Data representations::3::Explain why overflow might occur</v>
      </c>
      <c r="F106" s="96" t="s">
        <v>954</v>
      </c>
      <c r="G106" s="96" t="s">
        <v>12</v>
      </c>
      <c r="H106" s="96" t="s">
        <v>96</v>
      </c>
    </row>
    <row r="107" spans="1:8" ht="13">
      <c r="A107" s="96" t="s">
        <v>1066</v>
      </c>
      <c r="B107" s="96" t="s">
        <v>1168</v>
      </c>
      <c r="C107" s="96">
        <v>3</v>
      </c>
      <c r="D107" s="96" t="s">
        <v>1179</v>
      </c>
      <c r="E107" s="96" t="str">
        <f t="shared" si="0"/>
        <v>Data representations::3::Define the term ‘byte’</v>
      </c>
      <c r="F107" s="96" t="s">
        <v>954</v>
      </c>
      <c r="G107" s="96" t="s">
        <v>12</v>
      </c>
      <c r="H107" s="96" t="s">
        <v>96</v>
      </c>
    </row>
    <row r="108" spans="1:8" ht="13">
      <c r="A108" s="96" t="s">
        <v>1066</v>
      </c>
      <c r="B108" s="96" t="s">
        <v>1168</v>
      </c>
      <c r="C108" s="96">
        <v>4</v>
      </c>
      <c r="D108" s="96" t="s">
        <v>1180</v>
      </c>
      <c r="E108" s="96" t="str">
        <f t="shared" si="0"/>
        <v>Data representations::4::Explain how numbers are represented using hexadecimal</v>
      </c>
      <c r="F108" s="96" t="s">
        <v>954</v>
      </c>
      <c r="G108" s="96" t="s">
        <v>12</v>
      </c>
      <c r="H108" s="96" t="s">
        <v>96</v>
      </c>
    </row>
    <row r="109" spans="1:8" ht="13">
      <c r="A109" s="96" t="s">
        <v>1066</v>
      </c>
      <c r="B109" s="96" t="s">
        <v>1168</v>
      </c>
      <c r="C109" s="96">
        <v>4</v>
      </c>
      <c r="D109" s="96" t="s">
        <v>1181</v>
      </c>
      <c r="E109" s="96" t="str">
        <f t="shared" si="0"/>
        <v>Data representations::4::Convert decimal numbers to and from hexadecimal</v>
      </c>
      <c r="F109" s="96" t="s">
        <v>954</v>
      </c>
      <c r="G109" s="96" t="s">
        <v>12</v>
      </c>
      <c r="H109" s="96" t="s">
        <v>96</v>
      </c>
    </row>
    <row r="110" spans="1:8" ht="13">
      <c r="A110" s="96" t="s">
        <v>1066</v>
      </c>
      <c r="B110" s="96" t="s">
        <v>1168</v>
      </c>
      <c r="C110" s="96">
        <v>4</v>
      </c>
      <c r="D110" s="96" t="s">
        <v>1182</v>
      </c>
      <c r="E110" s="96" t="str">
        <f t="shared" si="0"/>
        <v>Data representations::4::Explain why and where hexadecimal notation is used</v>
      </c>
      <c r="F110" s="96" t="s">
        <v>954</v>
      </c>
      <c r="G110" s="96" t="s">
        <v>12</v>
      </c>
      <c r="H110" s="96" t="s">
        <v>96</v>
      </c>
    </row>
    <row r="111" spans="1:8" ht="13">
      <c r="A111" s="96" t="s">
        <v>1066</v>
      </c>
      <c r="B111" s="96" t="s">
        <v>1168</v>
      </c>
      <c r="C111" s="96">
        <v>5</v>
      </c>
      <c r="D111" s="96" t="s">
        <v>1183</v>
      </c>
      <c r="E111" s="96" t="str">
        <f t="shared" si="0"/>
        <v>Data representations::5::Be able to convert binary numbers to and from hexadecimal</v>
      </c>
      <c r="F111" s="96" t="s">
        <v>954</v>
      </c>
      <c r="G111" s="96" t="s">
        <v>12</v>
      </c>
      <c r="H111" s="96" t="s">
        <v>96</v>
      </c>
    </row>
    <row r="112" spans="1:8" ht="13">
      <c r="A112" s="96" t="s">
        <v>1066</v>
      </c>
      <c r="B112" s="96" t="s">
        <v>1168</v>
      </c>
      <c r="C112" s="96">
        <v>5</v>
      </c>
      <c r="D112" s="96" t="s">
        <v>1184</v>
      </c>
      <c r="E112" s="96" t="str">
        <f t="shared" si="0"/>
        <v>Data representations::5::Define the term ‘nibble’</v>
      </c>
      <c r="F112" s="96" t="s">
        <v>954</v>
      </c>
      <c r="G112" s="96" t="s">
        <v>12</v>
      </c>
      <c r="H112" s="96" t="s">
        <v>96</v>
      </c>
    </row>
    <row r="113" spans="1:8" ht="13">
      <c r="A113" s="96" t="s">
        <v>1066</v>
      </c>
      <c r="B113" s="96" t="s">
        <v>1168</v>
      </c>
      <c r="C113" s="96">
        <v>6</v>
      </c>
      <c r="D113" s="96" t="s">
        <v>1185</v>
      </c>
      <c r="E113" s="96" t="str">
        <f t="shared" si="0"/>
        <v>Data representations::6::Explain how ASCII is used to represent characters, and its limitations</v>
      </c>
      <c r="F113" s="96" t="s">
        <v>954</v>
      </c>
      <c r="G113" s="96" t="s">
        <v>12</v>
      </c>
      <c r="H113" s="96" t="s">
        <v>96</v>
      </c>
    </row>
    <row r="114" spans="1:8" ht="13">
      <c r="A114" s="96" t="s">
        <v>1066</v>
      </c>
      <c r="B114" s="96" t="s">
        <v>1168</v>
      </c>
      <c r="C114" s="96">
        <v>6</v>
      </c>
      <c r="D114" s="96" t="s">
        <v>1186</v>
      </c>
      <c r="E114" s="96" t="str">
        <f t="shared" si="0"/>
        <v>Data representations::6::Explain what a character set is</v>
      </c>
      <c r="F114" s="96" t="s">
        <v>954</v>
      </c>
      <c r="G114" s="96" t="s">
        <v>12</v>
      </c>
      <c r="H114" s="96" t="s">
        <v>96</v>
      </c>
    </row>
    <row r="115" spans="1:8" ht="13">
      <c r="A115" s="96" t="s">
        <v>1066</v>
      </c>
      <c r="B115" s="96" t="s">
        <v>1168</v>
      </c>
      <c r="C115" s="96">
        <v>6</v>
      </c>
      <c r="D115" s="96" t="s">
        <v>1187</v>
      </c>
      <c r="E115" s="96" t="str">
        <f t="shared" si="0"/>
        <v>Data representations::6::Explain the need for Unicode</v>
      </c>
      <c r="F115" s="96" t="s">
        <v>954</v>
      </c>
      <c r="G115" s="96" t="s">
        <v>12</v>
      </c>
      <c r="H115" s="96" t="s">
        <v>96</v>
      </c>
    </row>
    <row r="116" spans="1:8" ht="13">
      <c r="A116" s="96" t="s">
        <v>1066</v>
      </c>
      <c r="B116" s="96" t="s">
        <v>1168</v>
      </c>
      <c r="C116" s="96">
        <v>6</v>
      </c>
      <c r="D116" s="96" t="s">
        <v>1188</v>
      </c>
      <c r="E116" s="96" t="str">
        <f t="shared" si="0"/>
        <v>Data representations::6::Be able to calculate the number of bits needed to store a piece of text</v>
      </c>
      <c r="F116" s="96" t="s">
        <v>954</v>
      </c>
      <c r="G116" s="96" t="s">
        <v>12</v>
      </c>
      <c r="H116" s="96" t="s">
        <v>96</v>
      </c>
    </row>
    <row r="117" spans="1:8" ht="13">
      <c r="A117" s="96" t="s">
        <v>1066</v>
      </c>
      <c r="B117" s="96" t="s">
        <v>1168</v>
      </c>
      <c r="C117" s="96">
        <v>7</v>
      </c>
      <c r="D117" s="96" t="s">
        <v>1189</v>
      </c>
      <c r="E117" s="96" t="str">
        <f t="shared" si="0"/>
        <v>Data representations::7::Describe what a pixel is and how pixels relate to images</v>
      </c>
      <c r="F117" s="96" t="s">
        <v>954</v>
      </c>
      <c r="G117" s="96" t="s">
        <v>12</v>
      </c>
      <c r="H117" s="96" t="s">
        <v>96</v>
      </c>
    </row>
    <row r="118" spans="1:8" ht="13">
      <c r="A118" s="96" t="s">
        <v>1066</v>
      </c>
      <c r="B118" s="96" t="s">
        <v>1168</v>
      </c>
      <c r="C118" s="96">
        <v>7</v>
      </c>
      <c r="D118" s="96" t="s">
        <v>1190</v>
      </c>
      <c r="E118" s="96" t="str">
        <f t="shared" si="0"/>
        <v>Data representations::7::Explain how bitmaps are used to represent images</v>
      </c>
      <c r="F118" s="96" t="s">
        <v>954</v>
      </c>
      <c r="G118" s="96" t="s">
        <v>12</v>
      </c>
      <c r="H118" s="96" t="s">
        <v>96</v>
      </c>
    </row>
    <row r="119" spans="1:8" ht="13">
      <c r="A119" s="96" t="s">
        <v>1066</v>
      </c>
      <c r="B119" s="96" t="s">
        <v>1168</v>
      </c>
      <c r="C119" s="96">
        <v>7</v>
      </c>
      <c r="D119" s="96" t="s">
        <v>1191</v>
      </c>
      <c r="E119" s="96" t="str">
        <f t="shared" si="0"/>
        <v>Data representations::7::Convert between binary data and black and white bitmaps</v>
      </c>
      <c r="F119" s="96" t="s">
        <v>954</v>
      </c>
      <c r="G119" s="96" t="s">
        <v>12</v>
      </c>
      <c r="H119" s="96" t="s">
        <v>96</v>
      </c>
    </row>
    <row r="120" spans="1:8" ht="13">
      <c r="A120" s="96" t="s">
        <v>1066</v>
      </c>
      <c r="B120" s="96" t="s">
        <v>1168</v>
      </c>
      <c r="C120" s="96">
        <v>7</v>
      </c>
      <c r="D120" s="96" t="s">
        <v>1192</v>
      </c>
      <c r="E120" s="96" t="str">
        <f t="shared" si="0"/>
        <v>Data representations::7::Explain the relationship between resolution, colour depth, and file size for images</v>
      </c>
      <c r="F120" s="96" t="s">
        <v>954</v>
      </c>
      <c r="G120" s="96" t="s">
        <v>12</v>
      </c>
      <c r="H120" s="96" t="s">
        <v>96</v>
      </c>
    </row>
    <row r="121" spans="1:8" ht="13">
      <c r="A121" s="96" t="s">
        <v>1066</v>
      </c>
      <c r="B121" s="96" t="s">
        <v>1168</v>
      </c>
      <c r="C121" s="96">
        <v>7</v>
      </c>
      <c r="D121" s="96" t="s">
        <v>1193</v>
      </c>
      <c r="E121" s="96" t="str">
        <f t="shared" si="0"/>
        <v>Data representations::7::Describe colour depth and resolution, and how they impact on image quality</v>
      </c>
      <c r="F121" s="96" t="s">
        <v>954</v>
      </c>
      <c r="G121" s="96" t="s">
        <v>12</v>
      </c>
      <c r="H121" s="96" t="s">
        <v>96</v>
      </c>
    </row>
    <row r="122" spans="1:8" ht="13">
      <c r="A122" s="96" t="s">
        <v>1066</v>
      </c>
      <c r="B122" s="96" t="s">
        <v>1168</v>
      </c>
      <c r="C122" s="96">
        <v>8</v>
      </c>
      <c r="D122" s="96" t="s">
        <v>1194</v>
      </c>
      <c r="E122" s="96" t="str">
        <f t="shared" si="0"/>
        <v>Data representations::8::Define the terms ‘bit’, ‘nibble’, ‘byte’, ‘megabyte’, ‘gigabyte’, ‘terabyte’, and ‘petabyte’</v>
      </c>
      <c r="F122" s="96" t="s">
        <v>954</v>
      </c>
      <c r="G122" s="96" t="s">
        <v>12</v>
      </c>
      <c r="H122" s="96" t="s">
        <v>96</v>
      </c>
    </row>
    <row r="123" spans="1:8" ht="13">
      <c r="A123" s="96" t="s">
        <v>1066</v>
      </c>
      <c r="B123" s="96" t="s">
        <v>1168</v>
      </c>
      <c r="C123" s="96">
        <v>8</v>
      </c>
      <c r="D123" s="96" t="s">
        <v>1195</v>
      </c>
      <c r="E123" s="96" t="str">
        <f t="shared" si="0"/>
        <v>Data representations::8::Be able to convert between units of measurement</v>
      </c>
      <c r="F123" s="96" t="s">
        <v>954</v>
      </c>
      <c r="G123" s="96" t="s">
        <v>12</v>
      </c>
      <c r="H123" s="96" t="s">
        <v>96</v>
      </c>
    </row>
    <row r="124" spans="1:8" ht="13">
      <c r="A124" s="96" t="s">
        <v>1066</v>
      </c>
      <c r="B124" s="96" t="s">
        <v>1168</v>
      </c>
      <c r="C124" s="96">
        <v>8</v>
      </c>
      <c r="D124" s="96" t="s">
        <v>1196</v>
      </c>
      <c r="E124" s="96" t="str">
        <f t="shared" si="0"/>
        <v>Data representations::8::Explain the difference between raster and vector graphics</v>
      </c>
      <c r="F124" s="96" t="s">
        <v>954</v>
      </c>
      <c r="G124" s="96" t="s">
        <v>12</v>
      </c>
      <c r="H124" s="96" t="s">
        <v>96</v>
      </c>
    </row>
    <row r="125" spans="1:8" ht="13">
      <c r="A125" s="96" t="s">
        <v>1066</v>
      </c>
      <c r="B125" s="96" t="s">
        <v>1168</v>
      </c>
      <c r="C125" s="96">
        <v>8</v>
      </c>
      <c r="D125" s="96" t="s">
        <v>1197</v>
      </c>
      <c r="E125" s="96" t="str">
        <f t="shared" si="0"/>
        <v>Data representations::8::Describe the use of metadata in image files</v>
      </c>
      <c r="F125" s="96" t="s">
        <v>954</v>
      </c>
      <c r="G125" s="96" t="s">
        <v>12</v>
      </c>
      <c r="H125" s="96" t="s">
        <v>96</v>
      </c>
    </row>
    <row r="126" spans="1:8" ht="13">
      <c r="A126" s="96" t="s">
        <v>1066</v>
      </c>
      <c r="B126" s="96" t="s">
        <v>1168</v>
      </c>
      <c r="C126" s="96">
        <v>9</v>
      </c>
      <c r="D126" s="96" t="s">
        <v>1198</v>
      </c>
      <c r="E126" s="96" t="str">
        <f t="shared" si="0"/>
        <v>Data representations::9::Explain why analogue sound data needs to be converted to discrete values</v>
      </c>
      <c r="F126" s="96" t="s">
        <v>954</v>
      </c>
      <c r="G126" s="96" t="s">
        <v>12</v>
      </c>
      <c r="H126" s="96" t="s">
        <v>96</v>
      </c>
    </row>
    <row r="127" spans="1:8" ht="13">
      <c r="A127" s="96" t="s">
        <v>1066</v>
      </c>
      <c r="B127" s="96" t="s">
        <v>1168</v>
      </c>
      <c r="C127" s="96">
        <v>9</v>
      </c>
      <c r="D127" s="96" t="s">
        <v>1199</v>
      </c>
      <c r="E127" s="96" t="str">
        <f t="shared" si="0"/>
        <v>Data representations::9::Describe the concepts of sampling, sample rate, and sample resolution</v>
      </c>
      <c r="F127" s="96" t="s">
        <v>954</v>
      </c>
      <c r="G127" s="96" t="s">
        <v>12</v>
      </c>
      <c r="H127" s="96" t="s">
        <v>96</v>
      </c>
    </row>
    <row r="128" spans="1:8" ht="13">
      <c r="A128" s="96" t="s">
        <v>1066</v>
      </c>
      <c r="B128" s="96" t="s">
        <v>1168</v>
      </c>
      <c r="C128" s="96">
        <v>9</v>
      </c>
      <c r="D128" s="96" t="s">
        <v>1200</v>
      </c>
      <c r="E128" s="96" t="str">
        <f t="shared" si="0"/>
        <v>Data representations::9::Describe the use of metadata in sound files</v>
      </c>
      <c r="F128" s="96" t="s">
        <v>954</v>
      </c>
      <c r="G128" s="96" t="s">
        <v>12</v>
      </c>
      <c r="H128" s="96" t="s">
        <v>96</v>
      </c>
    </row>
    <row r="129" spans="1:8" ht="13">
      <c r="A129" s="96" t="s">
        <v>1066</v>
      </c>
      <c r="B129" s="96" t="s">
        <v>1168</v>
      </c>
      <c r="C129" s="96">
        <v>9</v>
      </c>
      <c r="D129" s="96" t="s">
        <v>1201</v>
      </c>
      <c r="E129" s="96" t="str">
        <f t="shared" si="0"/>
        <v>Data representations::9::Calculate file size requirements for sound files</v>
      </c>
      <c r="F129" s="96" t="s">
        <v>954</v>
      </c>
      <c r="G129" s="96" t="s">
        <v>12</v>
      </c>
      <c r="H129" s="96" t="s">
        <v>96</v>
      </c>
    </row>
    <row r="130" spans="1:8" ht="13">
      <c r="A130" s="96" t="s">
        <v>1066</v>
      </c>
      <c r="B130" s="96" t="s">
        <v>1168</v>
      </c>
      <c r="C130" s="96">
        <v>10</v>
      </c>
      <c r="D130" s="96" t="s">
        <v>1198</v>
      </c>
      <c r="E130" s="96" t="str">
        <f t="shared" si="0"/>
        <v>Data representations::10::Explain why analogue sound data needs to be converted to discrete values</v>
      </c>
      <c r="F130" s="96" t="s">
        <v>954</v>
      </c>
      <c r="G130" s="96" t="s">
        <v>12</v>
      </c>
      <c r="H130" s="96" t="s">
        <v>96</v>
      </c>
    </row>
    <row r="131" spans="1:8" ht="13">
      <c r="A131" s="96" t="s">
        <v>1066</v>
      </c>
      <c r="B131" s="96" t="s">
        <v>1168</v>
      </c>
      <c r="C131" s="96">
        <v>10</v>
      </c>
      <c r="D131" s="96" t="s">
        <v>1199</v>
      </c>
      <c r="E131" s="96" t="str">
        <f t="shared" si="0"/>
        <v>Data representations::10::Describe the concepts of sampling, sample rate, and sample resolution</v>
      </c>
      <c r="F131" s="96" t="s">
        <v>954</v>
      </c>
      <c r="G131" s="96" t="s">
        <v>12</v>
      </c>
      <c r="H131" s="96" t="s">
        <v>96</v>
      </c>
    </row>
    <row r="132" spans="1:8" ht="13">
      <c r="A132" s="96" t="s">
        <v>1066</v>
      </c>
      <c r="B132" s="96" t="s">
        <v>1168</v>
      </c>
      <c r="C132" s="96">
        <v>10</v>
      </c>
      <c r="D132" s="96" t="s">
        <v>1200</v>
      </c>
      <c r="E132" s="96" t="str">
        <f t="shared" si="0"/>
        <v>Data representations::10::Describe the use of metadata in sound files</v>
      </c>
      <c r="F132" s="96" t="s">
        <v>954</v>
      </c>
      <c r="G132" s="96" t="s">
        <v>12</v>
      </c>
      <c r="H132" s="96" t="s">
        <v>96</v>
      </c>
    </row>
    <row r="133" spans="1:8" ht="13">
      <c r="A133" s="96" t="s">
        <v>1066</v>
      </c>
      <c r="B133" s="96" t="s">
        <v>1168</v>
      </c>
      <c r="C133" s="96">
        <v>10</v>
      </c>
      <c r="D133" s="96" t="s">
        <v>1201</v>
      </c>
      <c r="E133" s="96" t="str">
        <f t="shared" si="0"/>
        <v>Data representations::10::Calculate file size requirements for sound files</v>
      </c>
      <c r="F133" s="96" t="s">
        <v>954</v>
      </c>
      <c r="G133" s="96" t="s">
        <v>12</v>
      </c>
      <c r="H133" s="96" t="s">
        <v>96</v>
      </c>
    </row>
    <row r="134" spans="1:8" ht="13">
      <c r="A134" s="96" t="s">
        <v>1066</v>
      </c>
      <c r="B134" s="96" t="s">
        <v>66</v>
      </c>
      <c r="C134" s="96">
        <v>1</v>
      </c>
      <c r="D134" s="96" t="s">
        <v>1202</v>
      </c>
      <c r="E134" s="96" t="str">
        <f t="shared" si="0"/>
        <v>HTML::1::Create a simple web page using basic tags</v>
      </c>
      <c r="F134" s="96" t="s">
        <v>954</v>
      </c>
      <c r="G134" s="96" t="s">
        <v>1203</v>
      </c>
      <c r="H134" s="96" t="s">
        <v>96</v>
      </c>
    </row>
    <row r="135" spans="1:8" ht="13">
      <c r="A135" s="96" t="s">
        <v>1066</v>
      </c>
      <c r="B135" s="96" t="s">
        <v>66</v>
      </c>
      <c r="C135" s="96">
        <v>1</v>
      </c>
      <c r="D135" s="96" t="s">
        <v>1204</v>
      </c>
      <c r="E135" s="96" t="str">
        <f t="shared" si="0"/>
        <v>HTML::1::Describe the purpose of HTML and tags when designing a website</v>
      </c>
      <c r="F135" s="96" t="s">
        <v>954</v>
      </c>
      <c r="G135" s="96" t="s">
        <v>552</v>
      </c>
      <c r="H135" s="96" t="s">
        <v>96</v>
      </c>
    </row>
    <row r="136" spans="1:8" ht="13">
      <c r="A136" s="96" t="s">
        <v>1066</v>
      </c>
      <c r="B136" s="96" t="s">
        <v>66</v>
      </c>
      <c r="C136" s="96">
        <v>2</v>
      </c>
      <c r="D136" s="96" t="s">
        <v>1205</v>
      </c>
      <c r="E136" s="96" t="str">
        <f t="shared" si="0"/>
        <v>HTML::2::Describe what is meant by the term ‘accessibility’</v>
      </c>
      <c r="F136" s="96" t="s">
        <v>954</v>
      </c>
      <c r="G136" s="96" t="s">
        <v>1206</v>
      </c>
      <c r="H136" s="96" t="s">
        <v>96</v>
      </c>
    </row>
    <row r="137" spans="1:8" ht="13">
      <c r="A137" s="96" t="s">
        <v>1066</v>
      </c>
      <c r="B137" s="96" t="s">
        <v>66</v>
      </c>
      <c r="C137" s="96">
        <v>2</v>
      </c>
      <c r="D137" s="96" t="s">
        <v>1207</v>
      </c>
      <c r="E137" s="96" t="str">
        <f t="shared" si="0"/>
        <v>HTML::2::Extend a HTML page to include images &lt;img&gt; and hyperlinks &lt;a href&gt;</v>
      </c>
      <c r="F137" s="96" t="s">
        <v>954</v>
      </c>
      <c r="G137" s="96" t="s">
        <v>733</v>
      </c>
      <c r="H137" s="96" t="s">
        <v>96</v>
      </c>
    </row>
    <row r="138" spans="1:8" ht="13">
      <c r="A138" s="96" t="s">
        <v>1066</v>
      </c>
      <c r="B138" s="96" t="s">
        <v>66</v>
      </c>
      <c r="C138" s="96">
        <v>3</v>
      </c>
      <c r="D138" s="96" t="s">
        <v>1208</v>
      </c>
      <c r="E138" s="96" t="str">
        <f t="shared" si="0"/>
        <v>HTML::3::Identify the common features of existing websites and the basics of what makes good web design</v>
      </c>
      <c r="F138" s="96" t="s">
        <v>954</v>
      </c>
      <c r="G138" s="96" t="s">
        <v>1209</v>
      </c>
      <c r="H138" s="96" t="s">
        <v>96</v>
      </c>
    </row>
    <row r="139" spans="1:8" ht="13">
      <c r="A139" s="96" t="s">
        <v>1066</v>
      </c>
      <c r="B139" s="96" t="s">
        <v>66</v>
      </c>
      <c r="C139" s="96">
        <v>3</v>
      </c>
      <c r="D139" s="96" t="s">
        <v>1210</v>
      </c>
      <c r="E139" s="96" t="str">
        <f t="shared" si="0"/>
        <v>HTML::3::Design and create pages for a mini website</v>
      </c>
      <c r="F139" s="96" t="s">
        <v>954</v>
      </c>
      <c r="G139" s="96" t="s">
        <v>1211</v>
      </c>
      <c r="H139" s="96" t="s">
        <v>96</v>
      </c>
    </row>
    <row r="140" spans="1:8" ht="13">
      <c r="A140" s="96" t="s">
        <v>1066</v>
      </c>
      <c r="B140" s="96" t="s">
        <v>66</v>
      </c>
      <c r="C140" s="96">
        <v>3</v>
      </c>
      <c r="D140" s="96" t="s">
        <v>1212</v>
      </c>
      <c r="E140" s="96" t="str">
        <f t="shared" si="0"/>
        <v>HTML::3::Create hyperlinks between pages stored locally within a folder</v>
      </c>
      <c r="F140" s="96" t="s">
        <v>954</v>
      </c>
      <c r="G140" s="96" t="s">
        <v>1211</v>
      </c>
      <c r="H140" s="96" t="s">
        <v>96</v>
      </c>
    </row>
    <row r="141" spans="1:8" ht="13">
      <c r="A141" s="96" t="s">
        <v>1066</v>
      </c>
      <c r="B141" s="96" t="s">
        <v>66</v>
      </c>
      <c r="C141" s="96">
        <v>3</v>
      </c>
      <c r="D141" s="96" t="s">
        <v>1213</v>
      </c>
      <c r="E141" s="96" t="str">
        <f t="shared" si="0"/>
        <v>HTML::3::Insert images stored locally within a folder</v>
      </c>
      <c r="F141" s="96" t="s">
        <v>954</v>
      </c>
      <c r="G141" s="96" t="s">
        <v>1211</v>
      </c>
      <c r="H141" s="96" t="s">
        <v>96</v>
      </c>
    </row>
    <row r="142" spans="1:8" ht="13">
      <c r="A142" s="96" t="s">
        <v>1066</v>
      </c>
      <c r="B142" s="96" t="s">
        <v>66</v>
      </c>
      <c r="C142" s="96">
        <v>4</v>
      </c>
      <c r="D142" s="96" t="s">
        <v>1214</v>
      </c>
      <c r="E142" s="96" t="str">
        <f t="shared" si="0"/>
        <v>HTML::4::Experiment with CSS by changing the style of the tags learnt so far in this unit</v>
      </c>
      <c r="F142" s="96" t="s">
        <v>954</v>
      </c>
      <c r="G142" s="96" t="s">
        <v>1211</v>
      </c>
      <c r="H142" s="96" t="s">
        <v>96</v>
      </c>
    </row>
    <row r="143" spans="1:8" ht="13">
      <c r="A143" s="96" t="s">
        <v>1066</v>
      </c>
      <c r="B143" s="96" t="s">
        <v>66</v>
      </c>
      <c r="C143" s="96">
        <v>4</v>
      </c>
      <c r="D143" s="96" t="s">
        <v>1215</v>
      </c>
      <c r="E143" s="96" t="str">
        <f t="shared" si="0"/>
        <v>HTML::4::Describe the purpose of CSS and why it is needed in addition to HTML</v>
      </c>
      <c r="F143" s="96" t="s">
        <v>954</v>
      </c>
      <c r="G143" s="96" t="s">
        <v>1211</v>
      </c>
      <c r="H143" s="96" t="s">
        <v>96</v>
      </c>
    </row>
    <row r="144" spans="1:8" ht="13">
      <c r="A144" s="96" t="s">
        <v>1066</v>
      </c>
      <c r="B144" s="96" t="s">
        <v>66</v>
      </c>
      <c r="C144" s="96">
        <v>5</v>
      </c>
      <c r="D144" s="96" t="s">
        <v>1216</v>
      </c>
      <c r="E144" s="96" t="str">
        <f t="shared" si="0"/>
        <v>HTML::5::Apply knowledge of CSS to DIVs within web pages using classes</v>
      </c>
      <c r="F144" s="96" t="s">
        <v>954</v>
      </c>
      <c r="G144" s="96" t="s">
        <v>1209</v>
      </c>
      <c r="H144" s="96" t="s">
        <v>96</v>
      </c>
    </row>
    <row r="145" spans="1:8" ht="13">
      <c r="A145" s="96" t="s">
        <v>1066</v>
      </c>
      <c r="B145" s="96" t="s">
        <v>66</v>
      </c>
      <c r="C145" s="96">
        <v>5</v>
      </c>
      <c r="D145" s="96" t="s">
        <v>1217</v>
      </c>
      <c r="E145" s="96" t="str">
        <f t="shared" si="0"/>
        <v>HTML::5::Describe the purpose of DIV tags</v>
      </c>
      <c r="F145" s="96" t="s">
        <v>954</v>
      </c>
      <c r="G145" s="96" t="s">
        <v>1209</v>
      </c>
      <c r="H145" s="96" t="s">
        <v>96</v>
      </c>
    </row>
    <row r="146" spans="1:8" ht="13">
      <c r="A146" s="96" t="s">
        <v>1066</v>
      </c>
      <c r="B146" s="96" t="s">
        <v>66</v>
      </c>
      <c r="C146" s="96">
        <v>6</v>
      </c>
      <c r="D146" s="96" t="s">
        <v>1218</v>
      </c>
      <c r="E146" s="96" t="str">
        <f t="shared" si="0"/>
        <v>HTML::6::Apply skills to position items within a page</v>
      </c>
      <c r="F146" s="96" t="s">
        <v>954</v>
      </c>
      <c r="G146" s="96" t="s">
        <v>1211</v>
      </c>
      <c r="H146" s="96" t="s">
        <v>96</v>
      </c>
    </row>
    <row r="147" spans="1:8" ht="13">
      <c r="A147" s="96" t="s">
        <v>1066</v>
      </c>
      <c r="B147" s="96" t="s">
        <v>66</v>
      </c>
      <c r="C147" s="96">
        <v>6</v>
      </c>
      <c r="D147" s="96" t="s">
        <v>1219</v>
      </c>
      <c r="E147" s="96" t="str">
        <f t="shared" si="0"/>
        <v>HTML::6::Explain how to plan a website by developing house style and sketched wireframe</v>
      </c>
      <c r="F147" s="96" t="s">
        <v>954</v>
      </c>
      <c r="G147" s="96" t="s">
        <v>552</v>
      </c>
      <c r="H147" s="96" t="s">
        <v>96</v>
      </c>
    </row>
    <row r="148" spans="1:8" ht="13">
      <c r="A148" s="96" t="s">
        <v>1066</v>
      </c>
      <c r="B148" s="96" t="s">
        <v>66</v>
      </c>
      <c r="C148" s="96">
        <v>6</v>
      </c>
      <c r="D148" s="96" t="s">
        <v>1220</v>
      </c>
      <c r="E148" s="96" t="str">
        <f t="shared" si="0"/>
        <v>HTML::6::Describe the box model in CSS</v>
      </c>
      <c r="F148" s="96" t="s">
        <v>954</v>
      </c>
      <c r="G148" s="96" t="s">
        <v>552</v>
      </c>
      <c r="H148" s="96" t="s">
        <v>96</v>
      </c>
    </row>
    <row r="149" spans="1:8" ht="13">
      <c r="A149" s="96" t="s">
        <v>1066</v>
      </c>
      <c r="B149" s="96" t="s">
        <v>66</v>
      </c>
      <c r="C149" s="96">
        <v>7</v>
      </c>
      <c r="D149" s="96" t="s">
        <v>1221</v>
      </c>
      <c r="E149" s="96" t="str">
        <f t="shared" si="0"/>
        <v>HTML::7::Self/peer evaluate the webpage produced using a rubric</v>
      </c>
      <c r="F149" s="96" t="s">
        <v>954</v>
      </c>
      <c r="G149" s="96" t="s">
        <v>15</v>
      </c>
      <c r="H149" s="96" t="s">
        <v>96</v>
      </c>
    </row>
    <row r="150" spans="1:8" ht="13">
      <c r="A150" s="96" t="s">
        <v>1066</v>
      </c>
      <c r="B150" s="96" t="s">
        <v>66</v>
      </c>
      <c r="C150" s="96">
        <v>7</v>
      </c>
      <c r="D150" s="96" t="s">
        <v>1222</v>
      </c>
      <c r="E150" s="96" t="str">
        <f t="shared" si="0"/>
        <v>HTML::7::Construct a three-page website to showcase the skills learned throughout this unit of study</v>
      </c>
      <c r="F150" s="96" t="s">
        <v>954</v>
      </c>
      <c r="G150" s="96" t="s">
        <v>1211</v>
      </c>
      <c r="H150" s="96" t="s">
        <v>96</v>
      </c>
    </row>
    <row r="151" spans="1:8" ht="13">
      <c r="A151" s="96" t="s">
        <v>1066</v>
      </c>
      <c r="B151" s="96" t="s">
        <v>66</v>
      </c>
      <c r="C151" s="96">
        <v>8</v>
      </c>
      <c r="D151" s="96" t="s">
        <v>1223</v>
      </c>
      <c r="E151" s="96" t="str">
        <f t="shared" si="0"/>
        <v>HTML::8::Extend/finish the assessed website</v>
      </c>
      <c r="F151" s="96" t="s">
        <v>954</v>
      </c>
      <c r="G151" s="96" t="s">
        <v>1211</v>
      </c>
      <c r="H151" s="96" t="s">
        <v>96</v>
      </c>
    </row>
    <row r="152" spans="1:8" ht="13">
      <c r="A152" s="96" t="s">
        <v>1066</v>
      </c>
      <c r="B152" s="96" t="s">
        <v>66</v>
      </c>
      <c r="C152" s="96">
        <v>8</v>
      </c>
      <c r="D152" s="96" t="s">
        <v>1224</v>
      </c>
      <c r="E152" s="96" t="str">
        <f t="shared" si="0"/>
        <v>HTML::8::Showcase the assessed website</v>
      </c>
      <c r="F152" s="96" t="s">
        <v>954</v>
      </c>
      <c r="G152" s="96" t="s">
        <v>15</v>
      </c>
      <c r="H152" s="96" t="s">
        <v>96</v>
      </c>
    </row>
    <row r="153" spans="1:8" ht="13">
      <c r="A153" s="96" t="s">
        <v>1066</v>
      </c>
      <c r="B153" s="96" t="s">
        <v>66</v>
      </c>
      <c r="C153" s="96">
        <v>8</v>
      </c>
      <c r="D153" s="96" t="s">
        <v>1225</v>
      </c>
      <c r="E153" s="96" t="str">
        <f t="shared" si="0"/>
        <v>HTML::8::Demonstrate how much has been learnt by taking an end of unit test</v>
      </c>
      <c r="F153" s="96" t="s">
        <v>954</v>
      </c>
      <c r="G153" s="96" t="s">
        <v>1211</v>
      </c>
      <c r="H153" s="96" t="s">
        <v>96</v>
      </c>
    </row>
    <row r="154" spans="1:8" ht="13">
      <c r="A154" s="96" t="s">
        <v>1066</v>
      </c>
      <c r="B154" s="96" t="s">
        <v>64</v>
      </c>
      <c r="C154" s="96">
        <v>1</v>
      </c>
      <c r="D154" s="96" t="s">
        <v>1226</v>
      </c>
      <c r="E154" s="96" t="str">
        <f t="shared" si="0"/>
        <v>Impacts of technology::1::Apply the terms ‘privacy’, ‘legal’, ‘ethical’, ‘environmental’, and ‘cultural’</v>
      </c>
      <c r="F154" s="96">
        <v>4.0999999999999996</v>
      </c>
      <c r="G154" s="96" t="s">
        <v>21</v>
      </c>
      <c r="H154" s="96" t="s">
        <v>62</v>
      </c>
    </row>
    <row r="155" spans="1:8" ht="13">
      <c r="A155" s="96" t="s">
        <v>1066</v>
      </c>
      <c r="B155" s="96" t="s">
        <v>64</v>
      </c>
      <c r="C155" s="96">
        <v>1</v>
      </c>
      <c r="D155" s="96" t="s">
        <v>1227</v>
      </c>
      <c r="E155" s="96" t="str">
        <f t="shared" si="0"/>
        <v>Impacts of technology::1::Explain data legislation, including an organisation’s obligation to protect and supply data</v>
      </c>
      <c r="F155" s="96">
        <v>4.0999999999999996</v>
      </c>
      <c r="G155" s="96" t="s">
        <v>847</v>
      </c>
      <c r="H155" s="96" t="s">
        <v>62</v>
      </c>
    </row>
    <row r="156" spans="1:8" ht="13">
      <c r="A156" s="96" t="s">
        <v>1066</v>
      </c>
      <c r="B156" s="96" t="s">
        <v>64</v>
      </c>
      <c r="C156" s="96">
        <v>2</v>
      </c>
      <c r="D156" s="96" t="s">
        <v>1228</v>
      </c>
      <c r="E156" s="96" t="str">
        <f t="shared" si="0"/>
        <v>Impacts of technology::2::Explain the term ‘stakeholder’</v>
      </c>
      <c r="F156" s="96">
        <v>4.0999999999999996</v>
      </c>
      <c r="G156" s="96" t="s">
        <v>21</v>
      </c>
      <c r="H156" s="96" t="s">
        <v>62</v>
      </c>
    </row>
    <row r="157" spans="1:8" ht="13">
      <c r="A157" s="96" t="s">
        <v>1066</v>
      </c>
      <c r="B157" s="96" t="s">
        <v>64</v>
      </c>
      <c r="C157" s="96">
        <v>2</v>
      </c>
      <c r="D157" s="96" t="s">
        <v>1229</v>
      </c>
      <c r="E157" s="96" t="str">
        <f t="shared" si="0"/>
        <v>Impacts of technology::2::Explain the right to be forgotten</v>
      </c>
      <c r="F157" s="96">
        <v>4.0999999999999996</v>
      </c>
      <c r="G157" s="96" t="s">
        <v>847</v>
      </c>
      <c r="H157" s="96" t="s">
        <v>62</v>
      </c>
    </row>
    <row r="158" spans="1:8" ht="13">
      <c r="A158" s="96" t="s">
        <v>1066</v>
      </c>
      <c r="B158" s="96" t="s">
        <v>64</v>
      </c>
      <c r="C158" s="96">
        <v>2</v>
      </c>
      <c r="D158" s="96" t="s">
        <v>1230</v>
      </c>
      <c r="E158" s="96" t="str">
        <f t="shared" si="0"/>
        <v>Impacts of technology::2::Distinguish the differences between legitimate creative uses and clear infringement of material subject to copyright</v>
      </c>
      <c r="F158" s="96">
        <v>4.0999999999999996</v>
      </c>
      <c r="G158" s="96" t="s">
        <v>21</v>
      </c>
      <c r="H158" s="96" t="s">
        <v>62</v>
      </c>
    </row>
    <row r="159" spans="1:8" ht="13">
      <c r="A159" s="96" t="s">
        <v>1066</v>
      </c>
      <c r="B159" s="96" t="s">
        <v>64</v>
      </c>
      <c r="C159" s="96">
        <v>3</v>
      </c>
      <c r="D159" s="96" t="s">
        <v>1231</v>
      </c>
      <c r="E159" s="96" t="str">
        <f t="shared" si="0"/>
        <v>Impacts of technology::3::Explain the Freedom of Information Act</v>
      </c>
      <c r="F159" s="96">
        <v>4.0999999999999996</v>
      </c>
      <c r="G159" s="96" t="s">
        <v>21</v>
      </c>
      <c r="H159" s="96" t="s">
        <v>62</v>
      </c>
    </row>
    <row r="160" spans="1:8" ht="13">
      <c r="A160" s="96" t="s">
        <v>1066</v>
      </c>
      <c r="B160" s="96" t="s">
        <v>64</v>
      </c>
      <c r="C160" s="96">
        <v>3</v>
      </c>
      <c r="D160" s="96" t="s">
        <v>1232</v>
      </c>
      <c r="E160" s="96" t="str">
        <f t="shared" si="0"/>
        <v>Impacts of technology::3::Define ‘computer misuse’ and the associated offences</v>
      </c>
      <c r="F160" s="96">
        <v>4.0999999999999996</v>
      </c>
      <c r="G160" s="96" t="s">
        <v>79</v>
      </c>
      <c r="H160" s="96" t="s">
        <v>62</v>
      </c>
    </row>
    <row r="161" spans="1:8" ht="13">
      <c r="A161" s="96" t="s">
        <v>1066</v>
      </c>
      <c r="B161" s="96" t="s">
        <v>64</v>
      </c>
      <c r="C161" s="96">
        <v>3</v>
      </c>
      <c r="D161" s="96" t="s">
        <v>1233</v>
      </c>
      <c r="E161" s="96" t="str">
        <f t="shared" si="0"/>
        <v>Impacts of technology::3::Identify situations that would be classified as an offence under the Act</v>
      </c>
      <c r="F161" s="96">
        <v>4.0999999999999996</v>
      </c>
      <c r="G161" s="96" t="s">
        <v>21</v>
      </c>
      <c r="H161" s="96" t="s">
        <v>62</v>
      </c>
    </row>
    <row r="162" spans="1:8" ht="13">
      <c r="A162" s="96" t="s">
        <v>1066</v>
      </c>
      <c r="B162" s="96" t="s">
        <v>64</v>
      </c>
      <c r="C162" s="96">
        <v>4</v>
      </c>
      <c r="D162" s="96" t="s">
        <v>1234</v>
      </c>
      <c r="E162" s="96" t="str">
        <f t="shared" si="0"/>
        <v>Impacts of technology::4::Define ‘downtime’ and explain the associated impact on an organisation</v>
      </c>
      <c r="F162" s="96">
        <v>4.0999999999999996</v>
      </c>
      <c r="G162" s="96" t="s">
        <v>79</v>
      </c>
      <c r="H162" s="96" t="s">
        <v>62</v>
      </c>
    </row>
    <row r="163" spans="1:8" ht="13">
      <c r="A163" s="96" t="s">
        <v>1066</v>
      </c>
      <c r="B163" s="96" t="s">
        <v>64</v>
      </c>
      <c r="C163" s="96">
        <v>4</v>
      </c>
      <c r="D163" s="96" t="s">
        <v>1235</v>
      </c>
      <c r="E163" s="96" t="str">
        <f t="shared" si="0"/>
        <v>Impacts of technology::4::Explain what is meant by the ‘digital divide’ and measures to mitigate its effect</v>
      </c>
      <c r="F163" s="96">
        <v>4.0999999999999996</v>
      </c>
      <c r="G163" s="96" t="s">
        <v>173</v>
      </c>
      <c r="H163" s="96" t="s">
        <v>62</v>
      </c>
    </row>
    <row r="164" spans="1:8" ht="13">
      <c r="A164" s="96" t="s">
        <v>1066</v>
      </c>
      <c r="B164" s="96" t="s">
        <v>64</v>
      </c>
      <c r="C164" s="96">
        <v>4</v>
      </c>
      <c r="D164" s="96" t="s">
        <v>1236</v>
      </c>
      <c r="E164" s="96" t="str">
        <f t="shared" si="0"/>
        <v>Impacts of technology::4::Identify positive and negative aspects of the use of mobile technology</v>
      </c>
      <c r="F164" s="96">
        <v>4.0999999999999996</v>
      </c>
      <c r="G164" s="96" t="s">
        <v>173</v>
      </c>
      <c r="H164" s="96" t="s">
        <v>62</v>
      </c>
    </row>
    <row r="165" spans="1:8" ht="13">
      <c r="A165" s="96" t="s">
        <v>1066</v>
      </c>
      <c r="B165" s="96" t="s">
        <v>64</v>
      </c>
      <c r="C165" s="96">
        <v>5</v>
      </c>
      <c r="D165" s="96" t="s">
        <v>1237</v>
      </c>
      <c r="E165" s="96" t="str">
        <f t="shared" si="0"/>
        <v>Impacts of technology::5::Identify the implications of having personal data online</v>
      </c>
      <c r="F165" s="96">
        <v>4.0999999999999996</v>
      </c>
      <c r="G165" s="96" t="s">
        <v>445</v>
      </c>
      <c r="H165" s="96" t="s">
        <v>62</v>
      </c>
    </row>
    <row r="166" spans="1:8" ht="13">
      <c r="A166" s="96" t="s">
        <v>1066</v>
      </c>
      <c r="B166" s="96" t="s">
        <v>64</v>
      </c>
      <c r="C166" s="96">
        <v>5</v>
      </c>
      <c r="D166" s="96" t="s">
        <v>1238</v>
      </c>
      <c r="E166" s="96" t="str">
        <f t="shared" si="0"/>
        <v>Impacts of technology::5::Explain the social and environmental impacts of social media</v>
      </c>
      <c r="F166" s="96">
        <v>4.0999999999999996</v>
      </c>
      <c r="G166" s="96" t="s">
        <v>445</v>
      </c>
      <c r="H166" s="96" t="s">
        <v>62</v>
      </c>
    </row>
    <row r="167" spans="1:8" ht="13">
      <c r="A167" s="96" t="s">
        <v>1066</v>
      </c>
      <c r="B167" s="96" t="s">
        <v>64</v>
      </c>
      <c r="C167" s="96">
        <v>5</v>
      </c>
      <c r="D167" s="96" t="s">
        <v>1239</v>
      </c>
      <c r="E167" s="96" t="str">
        <f t="shared" si="0"/>
        <v>Impacts of technology::5::Explain the positive and negative effects of online content</v>
      </c>
      <c r="F167" s="96">
        <v>4.0999999999999996</v>
      </c>
      <c r="G167" s="96" t="s">
        <v>445</v>
      </c>
      <c r="H167" s="96" t="s">
        <v>62</v>
      </c>
    </row>
    <row r="168" spans="1:8" ht="13">
      <c r="A168" s="96" t="s">
        <v>1066</v>
      </c>
      <c r="B168" s="96" t="s">
        <v>64</v>
      </c>
      <c r="C168" s="96">
        <v>6</v>
      </c>
      <c r="D168" s="96" t="s">
        <v>1240</v>
      </c>
      <c r="E168" s="96" t="str">
        <f t="shared" si="0"/>
        <v>Impacts of technology::6::Explain the environmental effects of the use of technology</v>
      </c>
      <c r="F168" s="96">
        <v>4.0999999999999996</v>
      </c>
      <c r="G168" s="96" t="s">
        <v>79</v>
      </c>
      <c r="H168" s="96" t="s">
        <v>62</v>
      </c>
    </row>
    <row r="169" spans="1:8" ht="13">
      <c r="A169" s="96" t="s">
        <v>1066</v>
      </c>
      <c r="B169" s="96" t="s">
        <v>64</v>
      </c>
      <c r="C169" s="96">
        <v>7</v>
      </c>
      <c r="D169" s="96" t="s">
        <v>1241</v>
      </c>
      <c r="E169" s="96" t="str">
        <f t="shared" si="0"/>
        <v>Impacts of technology::7::Explain the ethical issues surrounding the use of AI in society</v>
      </c>
      <c r="F169" s="96">
        <v>4.0999999999999996</v>
      </c>
      <c r="G169" s="96" t="s">
        <v>1242</v>
      </c>
      <c r="H169" s="96" t="s">
        <v>62</v>
      </c>
    </row>
    <row r="170" spans="1:8" ht="13">
      <c r="A170" s="96" t="s">
        <v>1066</v>
      </c>
      <c r="B170" s="96" t="s">
        <v>64</v>
      </c>
      <c r="C170" s="96">
        <v>7</v>
      </c>
      <c r="D170" s="96" t="s">
        <v>1243</v>
      </c>
      <c r="E170" s="96" t="str">
        <f t="shared" si="0"/>
        <v>Impacts of technology::7::Explain the ethical impact of using algorithms to make decisions</v>
      </c>
      <c r="F170" s="96">
        <v>4.0999999999999996</v>
      </c>
      <c r="G170" s="96" t="s">
        <v>141</v>
      </c>
      <c r="H170" s="96" t="s">
        <v>62</v>
      </c>
    </row>
    <row r="171" spans="1:8" ht="13">
      <c r="A171" s="96" t="s">
        <v>1066</v>
      </c>
      <c r="B171" s="96" t="s">
        <v>64</v>
      </c>
      <c r="C171" s="96">
        <v>8</v>
      </c>
      <c r="D171" s="96" t="s">
        <v>1244</v>
      </c>
      <c r="E171" s="96" t="str">
        <f t="shared" si="0"/>
        <v>Impacts of technology::8::Demonstrate knowledge of the five impacts of technology</v>
      </c>
      <c r="F171" s="96">
        <v>4.0999999999999996</v>
      </c>
      <c r="G171" s="96" t="s">
        <v>21</v>
      </c>
      <c r="H171" s="96" t="s">
        <v>62</v>
      </c>
    </row>
    <row r="172" spans="1:8" ht="13">
      <c r="A172" s="96" t="s">
        <v>1066</v>
      </c>
      <c r="B172" s="96" t="s">
        <v>7</v>
      </c>
      <c r="C172" s="96">
        <v>1</v>
      </c>
      <c r="D172" s="96" t="s">
        <v>1245</v>
      </c>
      <c r="E172" s="96" t="str">
        <f t="shared" si="0"/>
        <v>Networks::1::Define what networks are</v>
      </c>
      <c r="F172" s="96">
        <v>4.0999999999999996</v>
      </c>
      <c r="G172" s="96" t="s">
        <v>265</v>
      </c>
      <c r="H172" s="96" t="s">
        <v>96</v>
      </c>
    </row>
    <row r="173" spans="1:8" ht="13">
      <c r="A173" s="96" t="s">
        <v>1066</v>
      </c>
      <c r="B173" s="96" t="s">
        <v>7</v>
      </c>
      <c r="C173" s="96">
        <v>1</v>
      </c>
      <c r="D173" s="96" t="s">
        <v>1246</v>
      </c>
      <c r="E173" s="96" t="str">
        <f t="shared" si="0"/>
        <v>Networks::1::Describe the hardware components required to build networks of devices</v>
      </c>
      <c r="F173" s="96">
        <v>4.0999999999999996</v>
      </c>
      <c r="G173" s="96" t="s">
        <v>265</v>
      </c>
      <c r="H173" s="96" t="s">
        <v>96</v>
      </c>
    </row>
    <row r="174" spans="1:8" ht="13">
      <c r="A174" s="96" t="s">
        <v>1066</v>
      </c>
      <c r="B174" s="96" t="s">
        <v>7</v>
      </c>
      <c r="C174" s="96">
        <v>1</v>
      </c>
      <c r="D174" s="96" t="s">
        <v>1247</v>
      </c>
      <c r="E174" s="96" t="str">
        <f t="shared" si="0"/>
        <v>Networks::1::Analyse the benefits and problems associated with networks</v>
      </c>
      <c r="F174" s="96">
        <v>4.0999999999999996</v>
      </c>
      <c r="G174" s="96" t="s">
        <v>6</v>
      </c>
      <c r="H174" s="96" t="s">
        <v>96</v>
      </c>
    </row>
    <row r="175" spans="1:8" ht="13">
      <c r="A175" s="96" t="s">
        <v>1066</v>
      </c>
      <c r="B175" s="96" t="s">
        <v>7</v>
      </c>
      <c r="C175" s="96">
        <v>2</v>
      </c>
      <c r="D175" s="96" t="s">
        <v>1248</v>
      </c>
      <c r="E175" s="96" t="str">
        <f t="shared" si="0"/>
        <v>Networks::2::Explain how devices can be connected to a network either through a wired or wireless connection</v>
      </c>
      <c r="F175" s="96">
        <v>4.0999999999999996</v>
      </c>
      <c r="G175" s="96" t="s">
        <v>265</v>
      </c>
      <c r="H175" s="96" t="s">
        <v>96</v>
      </c>
    </row>
    <row r="176" spans="1:8" ht="13">
      <c r="A176" s="96" t="s">
        <v>1066</v>
      </c>
      <c r="B176" s="96" t="s">
        <v>7</v>
      </c>
      <c r="C176" s="96">
        <v>2</v>
      </c>
      <c r="D176" s="96" t="s">
        <v>1249</v>
      </c>
      <c r="E176" s="96" t="str">
        <f t="shared" si="0"/>
        <v>Networks::2::Define MAC addresses and their use in networks</v>
      </c>
      <c r="F176" s="96">
        <v>4.0999999999999996</v>
      </c>
      <c r="G176" s="96" t="s">
        <v>6</v>
      </c>
      <c r="H176" s="96" t="s">
        <v>96</v>
      </c>
    </row>
    <row r="177" spans="1:8" ht="13">
      <c r="A177" s="96" t="s">
        <v>1066</v>
      </c>
      <c r="B177" s="96" t="s">
        <v>7</v>
      </c>
      <c r="C177" s="96">
        <v>2</v>
      </c>
      <c r="D177" s="96" t="s">
        <v>1250</v>
      </c>
      <c r="E177" s="96" t="str">
        <f t="shared" si="0"/>
        <v>Networks::2::Analyse specific examples including Ethernet and Wi-Fi</v>
      </c>
      <c r="F177" s="96">
        <v>4.0999999999999996</v>
      </c>
      <c r="G177" s="96" t="s">
        <v>6</v>
      </c>
      <c r="H177" s="96" t="s">
        <v>96</v>
      </c>
    </row>
    <row r="178" spans="1:8" ht="13">
      <c r="A178" s="96" t="s">
        <v>1066</v>
      </c>
      <c r="B178" s="96" t="s">
        <v>7</v>
      </c>
      <c r="C178" s="96">
        <v>2</v>
      </c>
      <c r="D178" s="96" t="s">
        <v>1251</v>
      </c>
      <c r="E178" s="96" t="str">
        <f t="shared" si="0"/>
        <v>Networks::2::Explain the importance of connectivity in modern computing systems</v>
      </c>
      <c r="F178" s="96">
        <v>4.0999999999999996</v>
      </c>
      <c r="G178" s="96" t="s">
        <v>6</v>
      </c>
      <c r="H178" s="96" t="s">
        <v>96</v>
      </c>
    </row>
    <row r="179" spans="1:8" ht="13">
      <c r="A179" s="96" t="s">
        <v>1066</v>
      </c>
      <c r="B179" s="96" t="s">
        <v>7</v>
      </c>
      <c r="C179" s="96">
        <v>3</v>
      </c>
      <c r="D179" s="96" t="s">
        <v>1252</v>
      </c>
      <c r="E179" s="96" t="str">
        <f t="shared" si="0"/>
        <v>Networks::3::List and describe the different types of networks depending on node distribution, including personal, local, and wide area networks</v>
      </c>
      <c r="F179" s="96">
        <v>4.0999999999999996</v>
      </c>
      <c r="G179" s="96" t="s">
        <v>6</v>
      </c>
      <c r="H179" s="96" t="s">
        <v>96</v>
      </c>
    </row>
    <row r="180" spans="1:8" ht="13">
      <c r="A180" s="96" t="s">
        <v>1066</v>
      </c>
      <c r="B180" s="96" t="s">
        <v>7</v>
      </c>
      <c r="C180" s="96">
        <v>3</v>
      </c>
      <c r="D180" s="96" t="s">
        <v>1253</v>
      </c>
      <c r="E180" s="96" t="str">
        <f t="shared" si="0"/>
        <v>Networks::3::List, describe, and compare the different types of networks depending on topology, such as ring, star, and bus</v>
      </c>
      <c r="F180" s="96">
        <v>4.0999999999999996</v>
      </c>
      <c r="G180" s="96" t="s">
        <v>6</v>
      </c>
      <c r="H180" s="96" t="s">
        <v>96</v>
      </c>
    </row>
    <row r="181" spans="1:8" ht="13">
      <c r="A181" s="96" t="s">
        <v>1066</v>
      </c>
      <c r="B181" s="96" t="s">
        <v>7</v>
      </c>
      <c r="C181" s="96">
        <v>4</v>
      </c>
      <c r="D181" s="96" t="s">
        <v>1254</v>
      </c>
      <c r="E181" s="96" t="str">
        <f t="shared" si="0"/>
        <v>Networks::4::List, describe, and compare the different types of communication models encountered in networks, such as server–client and peer-to-peer</v>
      </c>
      <c r="F181" s="96">
        <v>4.0999999999999996</v>
      </c>
      <c r="G181" s="96" t="s">
        <v>6</v>
      </c>
      <c r="H181" s="96" t="s">
        <v>96</v>
      </c>
    </row>
    <row r="182" spans="1:8" ht="13">
      <c r="A182" s="96" t="s">
        <v>1066</v>
      </c>
      <c r="B182" s="96" t="s">
        <v>7</v>
      </c>
      <c r="C182" s="96">
        <v>5</v>
      </c>
      <c r="D182" s="96" t="s">
        <v>1255</v>
      </c>
      <c r="E182" s="96" t="str">
        <f t="shared" si="0"/>
        <v>Networks::5::Define and describe the internet</v>
      </c>
      <c r="F182" s="96">
        <v>4.0999999999999996</v>
      </c>
      <c r="G182" s="96" t="s">
        <v>6</v>
      </c>
      <c r="H182" s="96" t="s">
        <v>96</v>
      </c>
    </row>
    <row r="183" spans="1:8" ht="13">
      <c r="A183" s="96" t="s">
        <v>1066</v>
      </c>
      <c r="B183" s="96" t="s">
        <v>7</v>
      </c>
      <c r="C183" s="96">
        <v>5</v>
      </c>
      <c r="D183" s="96" t="s">
        <v>1256</v>
      </c>
      <c r="E183" s="96" t="str">
        <f t="shared" si="0"/>
        <v>Networks::5::Define the WWW and describe its main components</v>
      </c>
      <c r="F183" s="96">
        <v>4.0999999999999996</v>
      </c>
      <c r="G183" s="96" t="s">
        <v>6</v>
      </c>
      <c r="H183" s="96" t="s">
        <v>96</v>
      </c>
    </row>
    <row r="184" spans="1:8" ht="13">
      <c r="A184" s="96" t="s">
        <v>1066</v>
      </c>
      <c r="B184" s="96" t="s">
        <v>7</v>
      </c>
      <c r="C184" s="96">
        <v>6</v>
      </c>
      <c r="D184" s="96" t="s">
        <v>1257</v>
      </c>
      <c r="E184" s="96" t="str">
        <f t="shared" si="0"/>
        <v>Networks::6::Define and explain the concept of a networking protocol</v>
      </c>
      <c r="F184" s="96">
        <v>4.0999999999999996</v>
      </c>
      <c r="G184" s="96" t="s">
        <v>6</v>
      </c>
      <c r="H184" s="96" t="s">
        <v>96</v>
      </c>
    </row>
    <row r="185" spans="1:8" ht="13">
      <c r="A185" s="96" t="s">
        <v>1066</v>
      </c>
      <c r="B185" s="96" t="s">
        <v>7</v>
      </c>
      <c r="C185" s="96">
        <v>6</v>
      </c>
      <c r="D185" s="96" t="s">
        <v>1258</v>
      </c>
      <c r="E185" s="96" t="str">
        <f t="shared" si="0"/>
        <v>Networks::6::List and explain standard internet protocols in the application layer, such as HTTP, HTTPS, FTP, DNS, SMTP, POP, and IMAP</v>
      </c>
      <c r="F185" s="96">
        <v>4.0999999999999996</v>
      </c>
      <c r="G185" s="96" t="s">
        <v>6</v>
      </c>
      <c r="H185" s="96" t="s">
        <v>96</v>
      </c>
    </row>
    <row r="186" spans="1:8" ht="13">
      <c r="A186" s="96" t="s">
        <v>1066</v>
      </c>
      <c r="B186" s="96" t="s">
        <v>7</v>
      </c>
      <c r="C186" s="96">
        <v>7</v>
      </c>
      <c r="D186" s="96" t="s">
        <v>1259</v>
      </c>
      <c r="E186" s="96" t="str">
        <f t="shared" si="0"/>
        <v>Networks::7::Explain and describe the advantages and disadvantages of circuit switching and packet switching</v>
      </c>
      <c r="F186" s="96">
        <v>4.0999999999999996</v>
      </c>
      <c r="G186" s="96" t="s">
        <v>6</v>
      </c>
      <c r="H186" s="96" t="s">
        <v>96</v>
      </c>
    </row>
    <row r="187" spans="1:8" ht="13">
      <c r="A187" s="96" t="s">
        <v>1066</v>
      </c>
      <c r="B187" s="96" t="s">
        <v>7</v>
      </c>
      <c r="C187" s="96">
        <v>7</v>
      </c>
      <c r="D187" s="96" t="s">
        <v>1260</v>
      </c>
      <c r="E187" s="96" t="str">
        <f t="shared" si="0"/>
        <v>Networks::7::List and explain the four different layers associated with the Internet Protocol: link, network/internet, transport, and application</v>
      </c>
      <c r="F187" s="96">
        <v>4.0999999999999996</v>
      </c>
      <c r="G187" s="96" t="s">
        <v>6</v>
      </c>
      <c r="H187" s="96" t="s">
        <v>96</v>
      </c>
    </row>
    <row r="188" spans="1:8" ht="13">
      <c r="A188" s="96" t="s">
        <v>1066</v>
      </c>
      <c r="B188" s="96" t="s">
        <v>7</v>
      </c>
      <c r="C188" s="96">
        <v>7</v>
      </c>
      <c r="D188" s="96" t="s">
        <v>1261</v>
      </c>
      <c r="E188" s="96" t="str">
        <f t="shared" si="0"/>
        <v>Networks::7::Explain the Internet Protocol in the internet layer</v>
      </c>
      <c r="F188" s="96">
        <v>4.0999999999999996</v>
      </c>
      <c r="G188" s="96" t="s">
        <v>6</v>
      </c>
      <c r="H188" s="96" t="s">
        <v>96</v>
      </c>
    </row>
    <row r="189" spans="1:8" ht="13">
      <c r="A189" s="96" t="s">
        <v>1066</v>
      </c>
      <c r="B189" s="96" t="s">
        <v>7</v>
      </c>
      <c r="C189" s="96">
        <v>7</v>
      </c>
      <c r="D189" s="96" t="s">
        <v>1262</v>
      </c>
      <c r="E189" s="96" t="str">
        <f t="shared" si="0"/>
        <v>Networks::7::List and explain standard internet protocols in the transport layer, such as TCP and UDP</v>
      </c>
      <c r="F189" s="96">
        <v>4.0999999999999996</v>
      </c>
      <c r="G189" s="96" t="s">
        <v>6</v>
      </c>
      <c r="H189" s="96" t="s">
        <v>96</v>
      </c>
    </row>
    <row r="190" spans="1:8" ht="13">
      <c r="A190" s="96" t="s">
        <v>1066</v>
      </c>
      <c r="B190" s="96" t="s">
        <v>7</v>
      </c>
      <c r="C190" s="96">
        <v>8</v>
      </c>
      <c r="D190" s="96" t="s">
        <v>1263</v>
      </c>
      <c r="E190" s="96" t="str">
        <f t="shared" si="0"/>
        <v>Networks::8::Describe how network data speeds are measured, and the factors affecting network performance</v>
      </c>
      <c r="F190" s="96">
        <v>4.0999999999999996</v>
      </c>
      <c r="G190" s="96" t="s">
        <v>6</v>
      </c>
      <c r="H190" s="96" t="s">
        <v>96</v>
      </c>
    </row>
    <row r="191" spans="1:8" ht="13">
      <c r="A191" s="96" t="s">
        <v>1066</v>
      </c>
      <c r="B191" s="96" t="s">
        <v>7</v>
      </c>
      <c r="C191" s="96">
        <v>8</v>
      </c>
      <c r="D191" s="96" t="s">
        <v>1264</v>
      </c>
      <c r="E191" s="96" t="str">
        <f t="shared" si="0"/>
        <v>Networks::8::Define what virtual networks are, and how they are used to maintain network performance</v>
      </c>
      <c r="F191" s="96">
        <v>4.0999999999999996</v>
      </c>
      <c r="G191" s="96" t="s">
        <v>6</v>
      </c>
      <c r="H191" s="96" t="s">
        <v>96</v>
      </c>
    </row>
    <row r="192" spans="1:8" ht="13">
      <c r="A192" s="96" t="s">
        <v>1066</v>
      </c>
      <c r="B192" s="96" t="s">
        <v>7</v>
      </c>
      <c r="C192" s="96">
        <v>8</v>
      </c>
      <c r="D192" s="96" t="s">
        <v>1265</v>
      </c>
      <c r="E192" s="96" t="str">
        <f t="shared" si="0"/>
        <v>Networks::8::Explain why networks are a target for criminals, and what some of the tools available to defend against attacks are</v>
      </c>
      <c r="F192" s="96">
        <v>4.0999999999999996</v>
      </c>
      <c r="G192" s="96" t="s">
        <v>347</v>
      </c>
      <c r="H192" s="96" t="s">
        <v>96</v>
      </c>
    </row>
    <row r="193" spans="1:8" ht="13">
      <c r="A193" s="96" t="s">
        <v>1066</v>
      </c>
      <c r="B193" s="96" t="s">
        <v>1266</v>
      </c>
      <c r="C193" s="96">
        <v>1</v>
      </c>
      <c r="D193" s="96" t="s">
        <v>1267</v>
      </c>
      <c r="E193" s="96" t="str">
        <f t="shared" si="0"/>
        <v>Physical computing project::1::Define the term physical computing</v>
      </c>
      <c r="G193" s="96" t="s">
        <v>18</v>
      </c>
      <c r="H193" s="96" t="s">
        <v>96</v>
      </c>
    </row>
    <row r="194" spans="1:8" ht="13">
      <c r="A194" s="96" t="s">
        <v>1066</v>
      </c>
      <c r="B194" s="96" t="s">
        <v>1266</v>
      </c>
      <c r="C194" s="96">
        <v>1</v>
      </c>
      <c r="D194" s="96" t="s">
        <v>1268</v>
      </c>
      <c r="E194" s="96" t="str">
        <f t="shared" si="0"/>
        <v>Physical computing project::1::Explain the term embedded systems</v>
      </c>
      <c r="G194" s="96" t="s">
        <v>18</v>
      </c>
      <c r="H194" s="96" t="s">
        <v>96</v>
      </c>
    </row>
    <row r="195" spans="1:8" ht="13">
      <c r="A195" s="96" t="s">
        <v>1066</v>
      </c>
      <c r="B195" s="96" t="s">
        <v>1266</v>
      </c>
      <c r="C195" s="96">
        <v>1</v>
      </c>
      <c r="D195" s="96" t="s">
        <v>1269</v>
      </c>
      <c r="E195" s="96" t="str">
        <f t="shared" si="0"/>
        <v>Physical computing project::1::Create and test a working circuit</v>
      </c>
      <c r="G195" s="96" t="s">
        <v>15</v>
      </c>
      <c r="H195" s="96" t="s">
        <v>96</v>
      </c>
    </row>
    <row r="196" spans="1:8" ht="13">
      <c r="A196" s="96" t="s">
        <v>1066</v>
      </c>
      <c r="B196" s="96" t="s">
        <v>1266</v>
      </c>
      <c r="C196" s="96">
        <v>2</v>
      </c>
      <c r="D196" s="96" t="s">
        <v>1270</v>
      </c>
      <c r="E196" s="96" t="str">
        <f t="shared" si="0"/>
        <v>Physical computing project::2::Explore how to add functionality using a motor controller</v>
      </c>
      <c r="G196" s="96" t="s">
        <v>1271</v>
      </c>
      <c r="H196" s="96" t="s">
        <v>96</v>
      </c>
    </row>
    <row r="197" spans="1:8" ht="13">
      <c r="A197" s="96" t="s">
        <v>1066</v>
      </c>
      <c r="B197" s="96" t="s">
        <v>1266</v>
      </c>
      <c r="C197" s="96">
        <v>2</v>
      </c>
      <c r="D197" s="96" t="s">
        <v>1272</v>
      </c>
      <c r="E197" s="96" t="str">
        <f t="shared" si="0"/>
        <v>Physical computing project::2::Interact with real-world objects using code and additional hardware</v>
      </c>
      <c r="G197" s="96" t="s">
        <v>1271</v>
      </c>
      <c r="H197" s="96" t="s">
        <v>96</v>
      </c>
    </row>
    <row r="198" spans="1:8" ht="13">
      <c r="A198" s="96" t="s">
        <v>1066</v>
      </c>
      <c r="B198" s="96" t="s">
        <v>1266</v>
      </c>
      <c r="C198" s="96">
        <v>3</v>
      </c>
      <c r="D198" s="96" t="s">
        <v>1273</v>
      </c>
      <c r="E198" s="96" t="str">
        <f t="shared" si="0"/>
        <v>Physical computing project::3::Use basic materials and tools to create a prototype</v>
      </c>
      <c r="G198" s="96" t="s">
        <v>15</v>
      </c>
      <c r="H198" s="96" t="s">
        <v>96</v>
      </c>
    </row>
    <row r="199" spans="1:8" ht="13">
      <c r="A199" s="96" t="s">
        <v>1066</v>
      </c>
      <c r="B199" s="96" t="s">
        <v>1266</v>
      </c>
      <c r="C199" s="96">
        <v>4</v>
      </c>
      <c r="D199" s="96" t="s">
        <v>1274</v>
      </c>
      <c r="E199" s="96" t="str">
        <f t="shared" si="0"/>
        <v>Physical computing project::4::Understand how ultrasonic sound waves work</v>
      </c>
      <c r="G199" s="96" t="s">
        <v>1275</v>
      </c>
      <c r="H199" s="96" t="s">
        <v>96</v>
      </c>
    </row>
    <row r="200" spans="1:8" ht="13">
      <c r="A200" s="96" t="s">
        <v>1066</v>
      </c>
      <c r="B200" s="96" t="s">
        <v>1266</v>
      </c>
      <c r="C200" s="96">
        <v>4</v>
      </c>
      <c r="D200" s="96" t="s">
        <v>1276</v>
      </c>
      <c r="E200" s="96" t="str">
        <f t="shared" si="0"/>
        <v>Physical computing project::4::Combine inputs and outputs to solve a problem</v>
      </c>
      <c r="G200" s="96" t="s">
        <v>1277</v>
      </c>
      <c r="H200" s="96" t="s">
        <v>96</v>
      </c>
    </row>
    <row r="201" spans="1:8" ht="13">
      <c r="A201" s="96" t="s">
        <v>1066</v>
      </c>
      <c r="B201" s="96" t="s">
        <v>1266</v>
      </c>
      <c r="C201" s="96">
        <v>5</v>
      </c>
      <c r="D201" s="96" t="s">
        <v>1278</v>
      </c>
      <c r="E201" s="96" t="str">
        <f t="shared" si="0"/>
        <v>Physical computing project::5::Understand how reflective optical sensors work</v>
      </c>
      <c r="G201" s="96" t="s">
        <v>1279</v>
      </c>
      <c r="H201" s="96" t="s">
        <v>96</v>
      </c>
    </row>
    <row r="202" spans="1:8" ht="13">
      <c r="A202" s="96" t="s">
        <v>1066</v>
      </c>
      <c r="B202" s="96" t="s">
        <v>1266</v>
      </c>
      <c r="C202" s="96">
        <v>5</v>
      </c>
      <c r="D202" s="96" t="s">
        <v>1280</v>
      </c>
      <c r="E202" s="96" t="str">
        <f t="shared" si="0"/>
        <v>Physical computing project::5::Process input data to monitor and react to the environment</v>
      </c>
      <c r="G202" s="96" t="s">
        <v>1281</v>
      </c>
      <c r="H202" s="96" t="s">
        <v>96</v>
      </c>
    </row>
    <row r="203" spans="1:8" ht="13">
      <c r="A203" s="96" t="s">
        <v>1066</v>
      </c>
      <c r="B203" s="96" t="s">
        <v>1266</v>
      </c>
      <c r="C203" s="96">
        <v>6</v>
      </c>
      <c r="D203" s="96" t="s">
        <v>1282</v>
      </c>
      <c r="E203" s="96" t="str">
        <f t="shared" si="0"/>
        <v>Physical computing project::6::Synchronise the behaviour of physical hardware components for a given situation</v>
      </c>
      <c r="G203" s="96" t="s">
        <v>1283</v>
      </c>
      <c r="H203" s="96" t="s">
        <v>96</v>
      </c>
    </row>
    <row r="204" spans="1:8" ht="13">
      <c r="A204" s="96" t="s">
        <v>1066</v>
      </c>
      <c r="B204" s="96" t="s">
        <v>1284</v>
      </c>
      <c r="C204" s="96">
        <v>1</v>
      </c>
      <c r="D204" s="96" t="s">
        <v>1285</v>
      </c>
      <c r="E204" s="96" t="str">
        <f t="shared" si="0"/>
        <v>Programming part 1 - Sequence::1::Compare how humans and computers interpret instructions</v>
      </c>
      <c r="F204" s="96" t="s">
        <v>954</v>
      </c>
      <c r="G204" s="96" t="s">
        <v>886</v>
      </c>
      <c r="H204" s="96" t="s">
        <v>96</v>
      </c>
    </row>
    <row r="205" spans="1:8" ht="13">
      <c r="A205" s="96" t="s">
        <v>1066</v>
      </c>
      <c r="B205" s="96" t="s">
        <v>1284</v>
      </c>
      <c r="C205" s="96">
        <v>1</v>
      </c>
      <c r="D205" s="96" t="s">
        <v>1286</v>
      </c>
      <c r="E205" s="96" t="str">
        <f t="shared" si="0"/>
        <v>Programming part 1 - Sequence::1::Explain the differences between high- and low-level programming languages</v>
      </c>
      <c r="F205" s="96" t="s">
        <v>954</v>
      </c>
      <c r="G205" s="96" t="s">
        <v>496</v>
      </c>
      <c r="H205" s="96" t="s">
        <v>96</v>
      </c>
    </row>
    <row r="206" spans="1:8" ht="13">
      <c r="A206" s="96" t="s">
        <v>1066</v>
      </c>
      <c r="B206" s="96" t="s">
        <v>1284</v>
      </c>
      <c r="C206" s="96">
        <v>1</v>
      </c>
      <c r="D206" s="96" t="s">
        <v>1287</v>
      </c>
      <c r="E206" s="96" t="str">
        <f t="shared" si="0"/>
        <v>Programming part 1 - Sequence::1::Describe why translators are necessary</v>
      </c>
      <c r="F206" s="96" t="s">
        <v>954</v>
      </c>
      <c r="G206" s="96" t="s">
        <v>496</v>
      </c>
      <c r="H206" s="96" t="s">
        <v>96</v>
      </c>
    </row>
    <row r="207" spans="1:8" ht="13">
      <c r="A207" s="96" t="s">
        <v>1066</v>
      </c>
      <c r="B207" s="96" t="s">
        <v>1284</v>
      </c>
      <c r="C207" s="96">
        <v>1</v>
      </c>
      <c r="D207" s="96" t="s">
        <v>1288</v>
      </c>
      <c r="E207" s="96" t="str">
        <f t="shared" si="0"/>
        <v>Programming part 1 - Sequence::1::List the differences, benefits and drawbacks of using a compiler or an interpreter</v>
      </c>
      <c r="F207" s="96" t="s">
        <v>954</v>
      </c>
      <c r="G207" s="96" t="s">
        <v>496</v>
      </c>
      <c r="H207" s="96" t="s">
        <v>96</v>
      </c>
    </row>
    <row r="208" spans="1:8" ht="13">
      <c r="A208" s="96" t="s">
        <v>1066</v>
      </c>
      <c r="B208" s="96" t="s">
        <v>1284</v>
      </c>
      <c r="C208" s="96">
        <v>2</v>
      </c>
      <c r="D208" s="96" t="s">
        <v>1289</v>
      </c>
      <c r="E208" s="96" t="str">
        <f t="shared" si="0"/>
        <v>Programming part 1 - Sequence::2::Use subroutines in programs</v>
      </c>
      <c r="F208" s="96" t="s">
        <v>954</v>
      </c>
      <c r="G208" s="96" t="s">
        <v>234</v>
      </c>
      <c r="H208" s="96" t="s">
        <v>96</v>
      </c>
    </row>
    <row r="209" spans="1:8" ht="13">
      <c r="A209" s="96" t="s">
        <v>1066</v>
      </c>
      <c r="B209" s="96" t="s">
        <v>1284</v>
      </c>
      <c r="C209" s="96">
        <v>2</v>
      </c>
      <c r="D209" s="96" t="s">
        <v>1290</v>
      </c>
      <c r="E209" s="96" t="str">
        <f t="shared" si="0"/>
        <v>Programming part 1 - Sequence::2::Define a sequence as instructions performed in order, with each executed in turn</v>
      </c>
      <c r="F209" s="96" t="s">
        <v>954</v>
      </c>
      <c r="G209" s="96" t="s">
        <v>234</v>
      </c>
      <c r="H209" s="96" t="s">
        <v>96</v>
      </c>
    </row>
    <row r="210" spans="1:8" ht="13">
      <c r="A210" s="96" t="s">
        <v>1066</v>
      </c>
      <c r="B210" s="96" t="s">
        <v>1284</v>
      </c>
      <c r="C210" s="96">
        <v>2</v>
      </c>
      <c r="D210" s="96" t="s">
        <v>1291</v>
      </c>
      <c r="E210" s="96" t="str">
        <f t="shared" si="0"/>
        <v>Programming part 1 - Sequence::2::Predict the outcome of a sequence and modify it</v>
      </c>
      <c r="F210" s="96" t="s">
        <v>954</v>
      </c>
      <c r="G210" s="96" t="s">
        <v>234</v>
      </c>
      <c r="H210" s="96" t="s">
        <v>96</v>
      </c>
    </row>
    <row r="211" spans="1:8" ht="13">
      <c r="A211" s="96" t="s">
        <v>1066</v>
      </c>
      <c r="B211" s="96" t="s">
        <v>1284</v>
      </c>
      <c r="C211" s="96">
        <v>2</v>
      </c>
      <c r="D211" s="96" t="s">
        <v>1292</v>
      </c>
      <c r="E211" s="96" t="str">
        <f t="shared" si="0"/>
        <v>Programming part 1 - Sequence::2::Interpret error messages and define error types and identify them in programs (logic, syntax)</v>
      </c>
      <c r="F211" s="96" t="s">
        <v>954</v>
      </c>
      <c r="G211" s="96" t="s">
        <v>234</v>
      </c>
      <c r="H211" s="96" t="s">
        <v>96</v>
      </c>
    </row>
    <row r="212" spans="1:8" ht="13">
      <c r="A212" s="96" t="s">
        <v>1066</v>
      </c>
      <c r="B212" s="96" t="s">
        <v>1284</v>
      </c>
      <c r="C212" s="96">
        <v>2</v>
      </c>
      <c r="D212" s="96" t="s">
        <v>1293</v>
      </c>
      <c r="E212" s="96" t="str">
        <f t="shared" si="0"/>
        <v>Programming part 1 - Sequence::2::Describe the tools an IDE provides (editors, error diagnostics, run-time environment, translators)</v>
      </c>
      <c r="F212" s="96" t="s">
        <v>954</v>
      </c>
      <c r="G212" s="96" t="s">
        <v>318</v>
      </c>
      <c r="H212" s="96" t="s">
        <v>96</v>
      </c>
    </row>
    <row r="213" spans="1:8" ht="13">
      <c r="A213" s="96" t="s">
        <v>1066</v>
      </c>
      <c r="B213" s="96" t="s">
        <v>1284</v>
      </c>
      <c r="C213" s="96">
        <v>3</v>
      </c>
      <c r="D213" s="96" t="s">
        <v>1294</v>
      </c>
      <c r="E213" s="96" t="str">
        <f t="shared" si="0"/>
        <v>Programming part 1 - Sequence::3::Use meaningful identifiers</v>
      </c>
      <c r="F213" s="96" t="s">
        <v>954</v>
      </c>
      <c r="G213" s="96" t="s">
        <v>27</v>
      </c>
      <c r="H213" s="96" t="s">
        <v>96</v>
      </c>
    </row>
    <row r="214" spans="1:8" ht="13">
      <c r="A214" s="96" t="s">
        <v>1066</v>
      </c>
      <c r="B214" s="96" t="s">
        <v>1284</v>
      </c>
      <c r="C214" s="96">
        <v>3</v>
      </c>
      <c r="D214" s="96" t="s">
        <v>1295</v>
      </c>
      <c r="E214" s="96" t="str">
        <f t="shared" si="0"/>
        <v>Programming part 1 - Sequence::3::Determine the need for variables</v>
      </c>
      <c r="F214" s="96" t="s">
        <v>954</v>
      </c>
      <c r="G214" s="96" t="s">
        <v>234</v>
      </c>
      <c r="H214" s="96" t="s">
        <v>96</v>
      </c>
    </row>
    <row r="215" spans="1:8" ht="13">
      <c r="A215" s="96" t="s">
        <v>1066</v>
      </c>
      <c r="B215" s="96" t="s">
        <v>1284</v>
      </c>
      <c r="C215" s="96">
        <v>3</v>
      </c>
      <c r="D215" s="96" t="s">
        <v>1296</v>
      </c>
      <c r="E215" s="96" t="str">
        <f t="shared" si="0"/>
        <v>Programming part 1 - Sequence::3::Distinguish between declaration, initialisation and assignment of variables</v>
      </c>
      <c r="F215" s="96" t="s">
        <v>954</v>
      </c>
      <c r="G215" s="96" t="s">
        <v>27</v>
      </c>
      <c r="H215" s="96" t="s">
        <v>96</v>
      </c>
    </row>
    <row r="216" spans="1:8" ht="13">
      <c r="A216" s="96" t="s">
        <v>1066</v>
      </c>
      <c r="B216" s="96" t="s">
        <v>1284</v>
      </c>
      <c r="C216" s="96">
        <v>3</v>
      </c>
      <c r="D216" s="96" t="s">
        <v>1297</v>
      </c>
      <c r="E216" s="96" t="str">
        <f t="shared" si="0"/>
        <v>Programming part 1 - Sequence::3::Demonstrate appropriate use of naming conventions</v>
      </c>
      <c r="F216" s="96" t="s">
        <v>954</v>
      </c>
      <c r="G216" s="96" t="s">
        <v>27</v>
      </c>
      <c r="H216" s="96" t="s">
        <v>96</v>
      </c>
    </row>
    <row r="217" spans="1:8" ht="13">
      <c r="A217" s="96" t="s">
        <v>1066</v>
      </c>
      <c r="B217" s="96" t="s">
        <v>1284</v>
      </c>
      <c r="C217" s="96">
        <v>3</v>
      </c>
      <c r="D217" s="96" t="s">
        <v>1298</v>
      </c>
      <c r="E217" s="96" t="str">
        <f t="shared" si="0"/>
        <v>Programming part 1 - Sequence::3::Output data (e.g. print (my_var))</v>
      </c>
      <c r="F217" s="96" t="s">
        <v>954</v>
      </c>
      <c r="G217" s="96" t="s">
        <v>27</v>
      </c>
      <c r="H217" s="96" t="s">
        <v>96</v>
      </c>
    </row>
    <row r="218" spans="1:8" ht="13">
      <c r="A218" s="96" t="s">
        <v>1066</v>
      </c>
      <c r="B218" s="96" t="s">
        <v>1284</v>
      </c>
      <c r="C218" s="96">
        <v>4</v>
      </c>
      <c r="D218" s="96" t="s">
        <v>1299</v>
      </c>
      <c r="E218" s="96" t="str">
        <f t="shared" si="0"/>
        <v>Programming part 1 - Sequence::4::Obtain input from the keyboard in a program</v>
      </c>
      <c r="F218" s="96" t="s">
        <v>954</v>
      </c>
      <c r="G218" s="96" t="s">
        <v>27</v>
      </c>
      <c r="H218" s="96" t="s">
        <v>96</v>
      </c>
    </row>
    <row r="219" spans="1:8" ht="13">
      <c r="A219" s="96" t="s">
        <v>1066</v>
      </c>
      <c r="B219" s="96" t="s">
        <v>1284</v>
      </c>
      <c r="C219" s="96">
        <v>4</v>
      </c>
      <c r="D219" s="96" t="s">
        <v>1300</v>
      </c>
      <c r="E219" s="96" t="str">
        <f t="shared" si="0"/>
        <v>Programming part 1 - Sequence::4::Differentiate between the data types; integer, real, Boolean, character, string</v>
      </c>
      <c r="F219" s="96" t="s">
        <v>954</v>
      </c>
      <c r="G219" s="96" t="s">
        <v>905</v>
      </c>
      <c r="H219" s="96" t="s">
        <v>96</v>
      </c>
    </row>
    <row r="220" spans="1:8" ht="13">
      <c r="A220" s="96" t="s">
        <v>1066</v>
      </c>
      <c r="B220" s="96" t="s">
        <v>1284</v>
      </c>
      <c r="C220" s="96">
        <v>4</v>
      </c>
      <c r="D220" s="96" t="s">
        <v>1301</v>
      </c>
      <c r="E220" s="96" t="str">
        <f t="shared" si="0"/>
        <v>Programming part 1 - Sequence::4::Cast variables by calling a function that will return a new value of the desired data type</v>
      </c>
      <c r="F220" s="96" t="s">
        <v>954</v>
      </c>
      <c r="G220" s="96" t="s">
        <v>905</v>
      </c>
      <c r="H220" s="96" t="s">
        <v>96</v>
      </c>
    </row>
    <row r="221" spans="1:8" ht="13">
      <c r="A221" s="96" t="s">
        <v>1066</v>
      </c>
      <c r="B221" s="96" t="s">
        <v>1284</v>
      </c>
      <c r="C221" s="96">
        <v>4</v>
      </c>
      <c r="D221" s="96" t="s">
        <v>1302</v>
      </c>
      <c r="E221" s="96" t="str">
        <f t="shared" si="0"/>
        <v>Programming part 1 - Sequence::4::Define runtime errors in programs</v>
      </c>
      <c r="F221" s="96" t="s">
        <v>954</v>
      </c>
      <c r="G221" s="96" t="s">
        <v>234</v>
      </c>
      <c r="H221" s="96" t="s">
        <v>96</v>
      </c>
    </row>
    <row r="222" spans="1:8" ht="13">
      <c r="A222" s="96" t="s">
        <v>1066</v>
      </c>
      <c r="B222" s="96" t="s">
        <v>1284</v>
      </c>
      <c r="C222" s="96">
        <v>4</v>
      </c>
      <c r="D222" s="96" t="s">
        <v>1303</v>
      </c>
      <c r="E222" s="96" t="str">
        <f t="shared" si="0"/>
        <v>Programming part 1 - Sequence::4::Define validation checks</v>
      </c>
      <c r="F222" s="96" t="s">
        <v>954</v>
      </c>
      <c r="G222" s="96" t="s">
        <v>234</v>
      </c>
      <c r="H222" s="96" t="s">
        <v>96</v>
      </c>
    </row>
    <row r="223" spans="1:8" ht="13">
      <c r="A223" s="96" t="s">
        <v>1066</v>
      </c>
      <c r="B223" s="96" t="s">
        <v>1284</v>
      </c>
      <c r="C223" s="96">
        <v>5</v>
      </c>
      <c r="D223" s="96" t="s">
        <v>1304</v>
      </c>
      <c r="E223" s="96" t="str">
        <f t="shared" si="0"/>
        <v>Programming part 1 - Sequence::5::Identify flowchart symbols and describe how to use them (start, end, input, output, subroutine)</v>
      </c>
      <c r="F223" s="96" t="s">
        <v>954</v>
      </c>
      <c r="G223" s="96" t="s">
        <v>234</v>
      </c>
      <c r="H223" s="96" t="s">
        <v>96</v>
      </c>
    </row>
    <row r="224" spans="1:8" ht="13">
      <c r="A224" s="96" t="s">
        <v>1066</v>
      </c>
      <c r="B224" s="96" t="s">
        <v>1284</v>
      </c>
      <c r="C224" s="96">
        <v>5</v>
      </c>
      <c r="D224" s="96" t="s">
        <v>1305</v>
      </c>
      <c r="E224" s="96" t="str">
        <f t="shared" si="0"/>
        <v>Programming part 1 - Sequence::5::Translate a flowchart into a program sequence</v>
      </c>
      <c r="F224" s="96" t="s">
        <v>954</v>
      </c>
      <c r="G224" s="96" t="s">
        <v>234</v>
      </c>
      <c r="H224" s="96" t="s">
        <v>96</v>
      </c>
    </row>
    <row r="225" spans="1:8" ht="13">
      <c r="A225" s="96" t="s">
        <v>1066</v>
      </c>
      <c r="B225" s="96" t="s">
        <v>1284</v>
      </c>
      <c r="C225" s="96">
        <v>5</v>
      </c>
      <c r="D225" s="96" t="s">
        <v>1306</v>
      </c>
      <c r="E225" s="96" t="str">
        <f t="shared" si="0"/>
        <v>Programming part 1 - Sequence::5::Design a flowchart for a program</v>
      </c>
      <c r="F225" s="96" t="s">
        <v>954</v>
      </c>
      <c r="G225" s="96" t="s">
        <v>166</v>
      </c>
      <c r="H225" s="96" t="s">
        <v>96</v>
      </c>
    </row>
    <row r="226" spans="1:8" ht="13">
      <c r="A226" s="96" t="s">
        <v>1066</v>
      </c>
      <c r="B226" s="96" t="s">
        <v>1307</v>
      </c>
      <c r="C226" s="96">
        <v>6</v>
      </c>
      <c r="D226" s="96" t="s">
        <v>1308</v>
      </c>
      <c r="E226" s="96" t="str">
        <f t="shared" si="0"/>
        <v>Programming part 2 - Selection::6::Be able to locate information using the language documentation</v>
      </c>
      <c r="F226" s="96" t="s">
        <v>954</v>
      </c>
      <c r="G226" s="96" t="s">
        <v>318</v>
      </c>
      <c r="H226" s="96" t="s">
        <v>96</v>
      </c>
    </row>
    <row r="227" spans="1:8" ht="13">
      <c r="A227" s="96" t="s">
        <v>1066</v>
      </c>
      <c r="B227" s="96" t="s">
        <v>1307</v>
      </c>
      <c r="C227" s="96">
        <v>6</v>
      </c>
      <c r="D227" s="96" t="s">
        <v>1309</v>
      </c>
      <c r="E227" s="96" t="str">
        <f t="shared" si="0"/>
        <v>Programming part 2 - Selection::6::Import modules into your code</v>
      </c>
      <c r="F227" s="96" t="s">
        <v>954</v>
      </c>
      <c r="G227" s="96" t="s">
        <v>27</v>
      </c>
      <c r="H227" s="96" t="s">
        <v>96</v>
      </c>
    </row>
    <row r="228" spans="1:8" ht="13">
      <c r="A228" s="96" t="s">
        <v>1066</v>
      </c>
      <c r="B228" s="96" t="s">
        <v>1307</v>
      </c>
      <c r="C228" s="96">
        <v>6</v>
      </c>
      <c r="D228" s="96" t="s">
        <v>1310</v>
      </c>
      <c r="E228" s="96" t="str">
        <f t="shared" si="0"/>
        <v>Programming part 2 - Selection::6::Demonstrate how to generate random numbers</v>
      </c>
      <c r="F228" s="96" t="s">
        <v>954</v>
      </c>
      <c r="G228" s="96" t="s">
        <v>27</v>
      </c>
      <c r="H228" s="96" t="s">
        <v>96</v>
      </c>
    </row>
    <row r="229" spans="1:8" ht="13">
      <c r="A229" s="96" t="s">
        <v>1066</v>
      </c>
      <c r="B229" s="96" t="s">
        <v>1307</v>
      </c>
      <c r="C229" s="96">
        <v>7</v>
      </c>
      <c r="D229" s="96" t="s">
        <v>1311</v>
      </c>
      <c r="E229" s="96" t="str">
        <f t="shared" si="0"/>
        <v>Programming part 2 - Selection::7::Evaluate arithmetic expressions using rules of operator precedence (BIDMAS)</v>
      </c>
      <c r="F229" s="96" t="s">
        <v>954</v>
      </c>
      <c r="G229" s="96" t="s">
        <v>27</v>
      </c>
      <c r="H229" s="96" t="s">
        <v>96</v>
      </c>
    </row>
    <row r="230" spans="1:8" ht="13">
      <c r="A230" s="96" t="s">
        <v>1066</v>
      </c>
      <c r="B230" s="96" t="s">
        <v>1307</v>
      </c>
      <c r="C230" s="96">
        <v>7</v>
      </c>
      <c r="D230" s="96" t="s">
        <v>1312</v>
      </c>
      <c r="E230" s="96" t="str">
        <f t="shared" si="0"/>
        <v>Programming part 2 - Selection::7::Write and use expressions that use arithmetic operators (add, subtract, multiply, real division, integer division, MOD, to the power)</v>
      </c>
      <c r="F230" s="96" t="s">
        <v>954</v>
      </c>
      <c r="G230" s="96" t="s">
        <v>27</v>
      </c>
      <c r="H230" s="96" t="s">
        <v>96</v>
      </c>
    </row>
    <row r="231" spans="1:8" ht="13">
      <c r="A231" s="96" t="s">
        <v>1066</v>
      </c>
      <c r="B231" s="96" t="s">
        <v>1307</v>
      </c>
      <c r="C231" s="96">
        <v>7</v>
      </c>
      <c r="D231" s="96" t="s">
        <v>1313</v>
      </c>
      <c r="E231" s="96" t="str">
        <f t="shared" si="0"/>
        <v>Programming part 2 - Selection::7::Assign expressions to variables</v>
      </c>
      <c r="F231" s="96" t="s">
        <v>954</v>
      </c>
      <c r="G231" s="96" t="s">
        <v>27</v>
      </c>
      <c r="H231" s="96" t="s">
        <v>96</v>
      </c>
    </row>
    <row r="232" spans="1:8" ht="13">
      <c r="A232" s="96" t="s">
        <v>1066</v>
      </c>
      <c r="B232" s="96" t="s">
        <v>1307</v>
      </c>
      <c r="C232" s="96">
        <v>8</v>
      </c>
      <c r="D232" s="96" t="s">
        <v>1314</v>
      </c>
      <c r="E232" s="96" t="str">
        <f t="shared" si="0"/>
        <v xml:space="preserve">Programming part 2 - Selection::8::Define a condition as an expression that can be evaluated to either True or </v>
      </c>
      <c r="F232" s="96" t="s">
        <v>954</v>
      </c>
      <c r="G232" s="96" t="s">
        <v>27</v>
      </c>
      <c r="H232" s="96" t="s">
        <v>96</v>
      </c>
    </row>
    <row r="233" spans="1:8" ht="13">
      <c r="A233" s="96" t="s">
        <v>1066</v>
      </c>
      <c r="B233" s="96" t="s">
        <v>1307</v>
      </c>
      <c r="C233" s="96">
        <v>8</v>
      </c>
      <c r="D233" s="96" t="s">
        <v>1315</v>
      </c>
      <c r="E233" s="96" t="str">
        <f t="shared" si="0"/>
        <v>Programming part 2 - Selection::8::Identify flowchart symbols and describe how to use them (decision)</v>
      </c>
      <c r="F233" s="96" t="s">
        <v>954</v>
      </c>
      <c r="G233" s="96" t="s">
        <v>234</v>
      </c>
      <c r="H233" s="96" t="s">
        <v>96</v>
      </c>
    </row>
    <row r="234" spans="1:8" ht="13">
      <c r="A234" s="96" t="s">
        <v>1066</v>
      </c>
      <c r="B234" s="96" t="s">
        <v>1307</v>
      </c>
      <c r="C234" s="96">
        <v>8</v>
      </c>
      <c r="D234" s="96" t="s">
        <v>1316</v>
      </c>
      <c r="E234" s="96" t="str">
        <f t="shared" si="0"/>
        <v>Programming part 2 - Selection::8::Identify that selection uses conditions to control the flow of execution</v>
      </c>
      <c r="F234" s="96" t="s">
        <v>954</v>
      </c>
      <c r="G234" s="96" t="s">
        <v>234</v>
      </c>
      <c r="H234" s="96" t="s">
        <v>96</v>
      </c>
    </row>
    <row r="235" spans="1:8" ht="13">
      <c r="A235" s="96" t="s">
        <v>1066</v>
      </c>
      <c r="B235" s="96" t="s">
        <v>1307</v>
      </c>
      <c r="C235" s="96">
        <v>8</v>
      </c>
      <c r="D235" s="96" t="s">
        <v>1317</v>
      </c>
      <c r="E235" s="96" t="str">
        <f t="shared" si="0"/>
        <v>Programming part 2 - Selection::8::Walkthrough code that includes selection (if, elif, else)</v>
      </c>
      <c r="F235" s="96" t="s">
        <v>954</v>
      </c>
      <c r="G235" s="96" t="s">
        <v>234</v>
      </c>
      <c r="H235" s="96" t="s">
        <v>96</v>
      </c>
    </row>
    <row r="236" spans="1:8" ht="13">
      <c r="A236" s="96" t="s">
        <v>1066</v>
      </c>
      <c r="B236" s="96" t="s">
        <v>1307</v>
      </c>
      <c r="C236" s="96">
        <v>9</v>
      </c>
      <c r="D236" s="96" t="s">
        <v>1318</v>
      </c>
      <c r="E236" s="96" t="str">
        <f t="shared" si="0"/>
        <v>Programming part 2 - Selection::9::Use selection statements in a program</v>
      </c>
      <c r="F236" s="96" t="s">
        <v>954</v>
      </c>
      <c r="G236" s="96" t="s">
        <v>27</v>
      </c>
      <c r="H236" s="96" t="s">
        <v>96</v>
      </c>
    </row>
    <row r="237" spans="1:8" ht="13">
      <c r="A237" s="96" t="s">
        <v>1066</v>
      </c>
      <c r="B237" s="96" t="s">
        <v>1307</v>
      </c>
      <c r="C237" s="96">
        <v>9</v>
      </c>
      <c r="D237" s="96" t="s">
        <v>1319</v>
      </c>
      <c r="E237" s="96" t="str">
        <f t="shared" si="0"/>
        <v>Programming part 2 - Selection::9::Identify when selection statements should be used in programs</v>
      </c>
      <c r="F237" s="96" t="s">
        <v>954</v>
      </c>
      <c r="G237" s="96" t="s">
        <v>234</v>
      </c>
      <c r="H237" s="96" t="s">
        <v>96</v>
      </c>
    </row>
    <row r="238" spans="1:8" ht="13">
      <c r="A238" s="96" t="s">
        <v>1066</v>
      </c>
      <c r="B238" s="96" t="s">
        <v>1307</v>
      </c>
      <c r="C238" s="96">
        <v>9</v>
      </c>
      <c r="D238" s="96" t="s">
        <v>1320</v>
      </c>
      <c r="E238" s="96" t="str">
        <f t="shared" si="0"/>
        <v>Programming part 2 - Selection::9::Write and use expressions that use comparison operators (equal to, not equal to, less than, greater than, less than or equal to, greater than or equal to)</v>
      </c>
      <c r="F238" s="96" t="s">
        <v>954</v>
      </c>
      <c r="G238" s="96" t="s">
        <v>27</v>
      </c>
      <c r="H238" s="96" t="s">
        <v>96</v>
      </c>
    </row>
    <row r="239" spans="1:8" ht="13">
      <c r="A239" s="96" t="s">
        <v>1066</v>
      </c>
      <c r="B239" s="96" t="s">
        <v>1307</v>
      </c>
      <c r="C239" s="96">
        <v>10</v>
      </c>
      <c r="D239" s="96" t="s">
        <v>1321</v>
      </c>
      <c r="E239" s="96" t="str">
        <f t="shared" si="0"/>
        <v>Programming part 2 - Selection::10::Describe how Boolean/logical operators can be used in expressions</v>
      </c>
      <c r="F239" s="96" t="s">
        <v>954</v>
      </c>
      <c r="G239" s="96" t="s">
        <v>27</v>
      </c>
      <c r="H239" s="96" t="s">
        <v>96</v>
      </c>
    </row>
    <row r="240" spans="1:8" ht="13">
      <c r="A240" s="96" t="s">
        <v>1066</v>
      </c>
      <c r="B240" s="96" t="s">
        <v>1307</v>
      </c>
      <c r="C240" s="96">
        <v>10</v>
      </c>
      <c r="D240" s="96" t="s">
        <v>1322</v>
      </c>
      <c r="E240" s="96" t="str">
        <f t="shared" si="0"/>
        <v>Programming part 2 - Selection::10::Walkthrough code that use conditions with Boolean/logical operators (AND, OR)</v>
      </c>
      <c r="F240" s="96" t="s">
        <v>954</v>
      </c>
      <c r="G240" s="96" t="s">
        <v>234</v>
      </c>
      <c r="H240" s="96" t="s">
        <v>96</v>
      </c>
    </row>
    <row r="241" spans="1:8" ht="13">
      <c r="A241" s="96" t="s">
        <v>1066</v>
      </c>
      <c r="B241" s="96" t="s">
        <v>1307</v>
      </c>
      <c r="C241" s="96">
        <v>10</v>
      </c>
      <c r="D241" s="96" t="s">
        <v>1323</v>
      </c>
      <c r="E241" s="96" t="str">
        <f t="shared" si="0"/>
        <v>Programming part 2 - Selection::10::Write and use expressions that use Boolean/logical operators (AND, OR)</v>
      </c>
      <c r="F241" s="96" t="s">
        <v>954</v>
      </c>
      <c r="G241" s="96" t="s">
        <v>27</v>
      </c>
      <c r="H241" s="96" t="s">
        <v>96</v>
      </c>
    </row>
    <row r="242" spans="1:8" ht="13">
      <c r="A242" s="96" t="s">
        <v>1066</v>
      </c>
      <c r="B242" s="96" t="s">
        <v>1307</v>
      </c>
      <c r="C242" s="96">
        <v>11</v>
      </c>
      <c r="D242" s="96" t="s">
        <v>1324</v>
      </c>
      <c r="E242" s="96" t="str">
        <f t="shared" si="0"/>
        <v>Programming part 2 - Selection::11::Define nested selection</v>
      </c>
      <c r="F242" s="96" t="s">
        <v>954</v>
      </c>
      <c r="G242" s="96" t="s">
        <v>27</v>
      </c>
      <c r="H242" s="96" t="s">
        <v>96</v>
      </c>
    </row>
    <row r="243" spans="1:8" ht="13">
      <c r="A243" s="96" t="s">
        <v>1066</v>
      </c>
      <c r="B243" s="96" t="s">
        <v>1307</v>
      </c>
      <c r="C243" s="96">
        <v>11</v>
      </c>
      <c r="D243" s="96" t="s">
        <v>1325</v>
      </c>
      <c r="E243" s="96" t="str">
        <f t="shared" si="0"/>
        <v>Programming part 2 - Selection::11::Walk through code that uses nested selection</v>
      </c>
      <c r="F243" s="96" t="s">
        <v>954</v>
      </c>
      <c r="G243" s="96" t="s">
        <v>234</v>
      </c>
      <c r="H243" s="96" t="s">
        <v>96</v>
      </c>
    </row>
    <row r="244" spans="1:8" ht="13">
      <c r="A244" s="96" t="s">
        <v>1066</v>
      </c>
      <c r="B244" s="96" t="s">
        <v>1307</v>
      </c>
      <c r="C244" s="96">
        <v>11</v>
      </c>
      <c r="D244" s="96" t="s">
        <v>1326</v>
      </c>
      <c r="E244" s="96" t="str">
        <f t="shared" si="0"/>
        <v>Programming part 2 - Selection::11::Modify a program that uses nested selection</v>
      </c>
      <c r="F244" s="96" t="s">
        <v>954</v>
      </c>
      <c r="G244" s="96" t="s">
        <v>27</v>
      </c>
      <c r="H244" s="96" t="s">
        <v>96</v>
      </c>
    </row>
    <row r="245" spans="1:8" ht="13">
      <c r="A245" s="96" t="s">
        <v>1066</v>
      </c>
      <c r="B245" s="96" t="s">
        <v>1327</v>
      </c>
      <c r="C245" s="96">
        <v>12</v>
      </c>
      <c r="D245" s="96" t="s">
        <v>1328</v>
      </c>
      <c r="E245" s="96" t="str">
        <f t="shared" si="0"/>
        <v>Programming part 3 - Iteration::12::Define iteration as a group of instructions that are repeatedly executed</v>
      </c>
      <c r="F245" s="96" t="s">
        <v>954</v>
      </c>
      <c r="G245" s="96" t="s">
        <v>234</v>
      </c>
      <c r="H245" s="96" t="s">
        <v>96</v>
      </c>
    </row>
    <row r="246" spans="1:8" ht="13">
      <c r="A246" s="96" t="s">
        <v>1066</v>
      </c>
      <c r="B246" s="96" t="s">
        <v>1327</v>
      </c>
      <c r="C246" s="96">
        <v>12</v>
      </c>
      <c r="D246" s="96" t="s">
        <v>1329</v>
      </c>
      <c r="E246" s="96" t="str">
        <f t="shared" si="0"/>
        <v>Programming part 3 - Iteration::12::Modify a program to incorporate a while loop</v>
      </c>
      <c r="F246" s="96" t="s">
        <v>954</v>
      </c>
      <c r="G246" s="96" t="s">
        <v>27</v>
      </c>
      <c r="H246" s="96" t="s">
        <v>96</v>
      </c>
    </row>
    <row r="247" spans="1:8" ht="13">
      <c r="A247" s="96" t="s">
        <v>1066</v>
      </c>
      <c r="B247" s="96" t="s">
        <v>1327</v>
      </c>
      <c r="C247" s="96">
        <v>13</v>
      </c>
      <c r="D247" s="96" t="s">
        <v>1330</v>
      </c>
      <c r="E247" s="96" t="str">
        <f t="shared" si="0"/>
        <v>Programming part 3 - Iteration::13::Use a trace table to walkthrough code that uses a while loop</v>
      </c>
      <c r="F247" s="96" t="s">
        <v>954</v>
      </c>
      <c r="G247" s="96" t="s">
        <v>234</v>
      </c>
      <c r="H247" s="96" t="s">
        <v>96</v>
      </c>
    </row>
    <row r="248" spans="1:8" ht="13">
      <c r="A248" s="96" t="s">
        <v>1066</v>
      </c>
      <c r="B248" s="96" t="s">
        <v>1327</v>
      </c>
      <c r="C248" s="96">
        <v>13</v>
      </c>
      <c r="D248" s="96" t="s">
        <v>1331</v>
      </c>
      <c r="E248" s="96" t="str">
        <f t="shared" si="0"/>
        <v>Programming part 3 - Iteration::13::Use a trace table to detect and correct errors in programs</v>
      </c>
      <c r="F248" s="96" t="s">
        <v>954</v>
      </c>
      <c r="G248" s="96" t="s">
        <v>234</v>
      </c>
      <c r="H248" s="96" t="s">
        <v>96</v>
      </c>
    </row>
    <row r="249" spans="1:8" ht="13">
      <c r="A249" s="96" t="s">
        <v>1066</v>
      </c>
      <c r="B249" s="96" t="s">
        <v>1327</v>
      </c>
      <c r="C249" s="96">
        <v>14</v>
      </c>
      <c r="D249" s="96" t="s">
        <v>1332</v>
      </c>
      <c r="E249" s="96" t="str">
        <f t="shared" si="0"/>
        <v>Programming part 3 - Iteration::14::Define a for loop</v>
      </c>
      <c r="F249" s="96" t="s">
        <v>954</v>
      </c>
      <c r="G249" s="96" t="s">
        <v>27</v>
      </c>
      <c r="H249" s="96" t="s">
        <v>96</v>
      </c>
    </row>
    <row r="250" spans="1:8" ht="13">
      <c r="A250" s="96" t="s">
        <v>1066</v>
      </c>
      <c r="B250" s="96" t="s">
        <v>1327</v>
      </c>
      <c r="C250" s="96">
        <v>14</v>
      </c>
      <c r="D250" s="96" t="s">
        <v>1333</v>
      </c>
      <c r="E250" s="96" t="str">
        <f t="shared" si="0"/>
        <v>Programming part 3 - Iteration::14::Walk through code that uses a for loop</v>
      </c>
      <c r="F250" s="96" t="s">
        <v>954</v>
      </c>
      <c r="G250" s="96" t="s">
        <v>234</v>
      </c>
      <c r="H250" s="96" t="s">
        <v>96</v>
      </c>
    </row>
    <row r="251" spans="1:8" ht="13">
      <c r="A251" s="96" t="s">
        <v>1066</v>
      </c>
      <c r="B251" s="96" t="s">
        <v>1327</v>
      </c>
      <c r="C251" s="96">
        <v>14</v>
      </c>
      <c r="D251" s="96" t="s">
        <v>1334</v>
      </c>
      <c r="E251" s="96" t="str">
        <f t="shared" si="0"/>
        <v>Programming part 3 - Iteration::14::Modify a program that uses a for loop</v>
      </c>
      <c r="F251" s="96" t="s">
        <v>954</v>
      </c>
      <c r="G251" s="96" t="s">
        <v>27</v>
      </c>
      <c r="H251" s="96" t="s">
        <v>96</v>
      </c>
    </row>
    <row r="252" spans="1:8" ht="13">
      <c r="A252" s="96" t="s">
        <v>1066</v>
      </c>
      <c r="B252" s="96" t="s">
        <v>1327</v>
      </c>
      <c r="C252" s="96">
        <v>14</v>
      </c>
      <c r="D252" s="96" t="s">
        <v>1335</v>
      </c>
      <c r="E252" s="96" t="str">
        <f t="shared" si="0"/>
        <v>Programming part 3 - Iteration::14::Compare a while loop and a for loop</v>
      </c>
      <c r="F252" s="96" t="s">
        <v>954</v>
      </c>
      <c r="G252" s="96" t="s">
        <v>166</v>
      </c>
      <c r="H252" s="96" t="s">
        <v>96</v>
      </c>
    </row>
    <row r="253" spans="1:8" ht="13">
      <c r="A253" s="96" t="s">
        <v>1066</v>
      </c>
      <c r="B253" s="96" t="s">
        <v>1327</v>
      </c>
      <c r="C253" s="96">
        <v>15</v>
      </c>
      <c r="D253" s="96" t="s">
        <v>1336</v>
      </c>
      <c r="E253" s="96" t="str">
        <f t="shared" si="0"/>
        <v>Programming part 3 - Iteration::15::Determine the need for validation checks</v>
      </c>
      <c r="F253" s="96" t="s">
        <v>954</v>
      </c>
      <c r="G253" s="96" t="s">
        <v>234</v>
      </c>
      <c r="H253" s="96" t="s">
        <v>96</v>
      </c>
    </row>
    <row r="254" spans="1:8" ht="13">
      <c r="A254" s="96" t="s">
        <v>1066</v>
      </c>
      <c r="B254" s="96" t="s">
        <v>1327</v>
      </c>
      <c r="C254" s="96">
        <v>15</v>
      </c>
      <c r="D254" s="96" t="s">
        <v>1337</v>
      </c>
      <c r="E254" s="96" t="str">
        <f t="shared" si="0"/>
        <v>Programming part 3 - Iteration::15::Use iteration to perform validation checks</v>
      </c>
      <c r="F254" s="96" t="s">
        <v>954</v>
      </c>
      <c r="G254" s="96" t="s">
        <v>27</v>
      </c>
      <c r="H254" s="96" t="s">
        <v>96</v>
      </c>
    </row>
    <row r="255" spans="1:8" ht="13">
      <c r="A255" s="96" t="s">
        <v>1066</v>
      </c>
      <c r="B255" s="96" t="s">
        <v>1327</v>
      </c>
      <c r="C255" s="96">
        <v>16</v>
      </c>
      <c r="D255" s="96" t="s">
        <v>1338</v>
      </c>
      <c r="E255" s="96" t="str">
        <f t="shared" si="0"/>
        <v>Programming part 3 - Iteration::16::Describe the purpose of pseudocode</v>
      </c>
      <c r="F255" s="96" t="s">
        <v>954</v>
      </c>
      <c r="G255" s="96" t="s">
        <v>234</v>
      </c>
      <c r="H255" s="96" t="s">
        <v>96</v>
      </c>
    </row>
    <row r="256" spans="1:8" ht="13">
      <c r="A256" s="96" t="s">
        <v>1066</v>
      </c>
      <c r="B256" s="96" t="s">
        <v>1327</v>
      </c>
      <c r="C256" s="96">
        <v>16</v>
      </c>
      <c r="D256" s="96" t="s">
        <v>1339</v>
      </c>
      <c r="E256" s="96" t="str">
        <f t="shared" si="0"/>
        <v>Programming part 3 - Iteration::16::Translate pseudocode into a program</v>
      </c>
      <c r="F256" s="96" t="s">
        <v>954</v>
      </c>
      <c r="G256" s="96" t="s">
        <v>234</v>
      </c>
      <c r="H256" s="96" t="s">
        <v>96</v>
      </c>
    </row>
    <row r="257" spans="1:8" ht="13">
      <c r="A257" s="96" t="s">
        <v>1066</v>
      </c>
      <c r="B257" s="96" t="s">
        <v>1327</v>
      </c>
      <c r="C257" s="96">
        <v>16</v>
      </c>
      <c r="D257" s="96" t="s">
        <v>1340</v>
      </c>
      <c r="E257" s="96" t="str">
        <f t="shared" ref="E257:E325" si="1">B257&amp;"::"&amp;C257&amp;"::"&amp;D257</f>
        <v>Programming part 3 - Iteration::16::Design and build a program using pseudocode</v>
      </c>
      <c r="F257" s="96" t="s">
        <v>954</v>
      </c>
      <c r="G257" s="96" t="s">
        <v>166</v>
      </c>
      <c r="H257" s="96" t="s">
        <v>96</v>
      </c>
    </row>
    <row r="258" spans="1:8" ht="13">
      <c r="A258" s="96" t="s">
        <v>1066</v>
      </c>
      <c r="B258" s="96" t="s">
        <v>1341</v>
      </c>
      <c r="C258" s="96">
        <v>18</v>
      </c>
      <c r="D258" s="96" t="s">
        <v>1342</v>
      </c>
      <c r="E258" s="96" t="str">
        <f t="shared" si="1"/>
        <v>Programming part 4 - Subroutines::18::Describe a subroutine</v>
      </c>
      <c r="F258" s="96" t="s">
        <v>954</v>
      </c>
      <c r="G258" s="96" t="s">
        <v>27</v>
      </c>
      <c r="H258" s="96" t="s">
        <v>96</v>
      </c>
    </row>
    <row r="259" spans="1:8" ht="13">
      <c r="A259" s="96" t="s">
        <v>1066</v>
      </c>
      <c r="B259" s="96" t="s">
        <v>1341</v>
      </c>
      <c r="C259" s="96">
        <v>18</v>
      </c>
      <c r="D259" s="96" t="s">
        <v>1343</v>
      </c>
      <c r="E259" s="96" t="str">
        <f t="shared" si="1"/>
        <v>Programming part 4 - Subroutines::18::Describe the purpose of parameters in subroutines</v>
      </c>
      <c r="F259" s="96" t="s">
        <v>954</v>
      </c>
      <c r="G259" s="96" t="s">
        <v>27</v>
      </c>
      <c r="H259" s="96" t="s">
        <v>96</v>
      </c>
    </row>
    <row r="260" spans="1:8" ht="13">
      <c r="A260" s="96" t="s">
        <v>1066</v>
      </c>
      <c r="B260" s="96" t="s">
        <v>1341</v>
      </c>
      <c r="C260" s="96">
        <v>18</v>
      </c>
      <c r="D260" s="96" t="s">
        <v>1344</v>
      </c>
      <c r="E260" s="96" t="str">
        <f t="shared" si="1"/>
        <v>Programming part 4 - Subroutines::18::Use procedures that accept arguments through parameters</v>
      </c>
      <c r="F260" s="96" t="s">
        <v>954</v>
      </c>
      <c r="G260" s="96" t="s">
        <v>27</v>
      </c>
      <c r="H260" s="96" t="s">
        <v>96</v>
      </c>
    </row>
    <row r="261" spans="1:8" ht="13">
      <c r="A261" s="96" t="s">
        <v>1066</v>
      </c>
      <c r="B261" s="96" t="s">
        <v>1341</v>
      </c>
      <c r="C261" s="96">
        <v>18</v>
      </c>
      <c r="D261" s="96" t="s">
        <v>1345</v>
      </c>
      <c r="E261" s="96" t="str">
        <f t="shared" si="1"/>
        <v>Programming part 4 - Subroutines::18::Describe how subroutines are used for decomposition</v>
      </c>
      <c r="F261" s="96" t="s">
        <v>954</v>
      </c>
      <c r="G261" s="96" t="s">
        <v>27</v>
      </c>
      <c r="H261" s="96" t="s">
        <v>96</v>
      </c>
    </row>
    <row r="262" spans="1:8" ht="13">
      <c r="A262" s="96" t="s">
        <v>1066</v>
      </c>
      <c r="B262" s="96" t="s">
        <v>1341</v>
      </c>
      <c r="C262" s="96">
        <v>18</v>
      </c>
      <c r="D262" s="96" t="s">
        <v>1346</v>
      </c>
      <c r="E262" s="96" t="str">
        <f t="shared" si="1"/>
        <v>Programming part 4 - Subroutines::18::List the advantages of subroutines</v>
      </c>
      <c r="F262" s="96" t="s">
        <v>954</v>
      </c>
      <c r="G262" s="96" t="s">
        <v>27</v>
      </c>
      <c r="H262" s="96" t="s">
        <v>96</v>
      </c>
    </row>
    <row r="263" spans="1:8" ht="13">
      <c r="A263" s="96" t="s">
        <v>1066</v>
      </c>
      <c r="B263" s="96" t="s">
        <v>1341</v>
      </c>
      <c r="C263" s="96">
        <v>19</v>
      </c>
      <c r="D263" s="96" t="s">
        <v>1347</v>
      </c>
      <c r="E263" s="96" t="str">
        <f t="shared" si="1"/>
        <v>Programming part 4 - Subroutines::19::Explain the difference between a function and a procedure</v>
      </c>
      <c r="F263" s="96" t="s">
        <v>954</v>
      </c>
      <c r="G263" s="96" t="s">
        <v>27</v>
      </c>
      <c r="H263" s="96" t="s">
        <v>96</v>
      </c>
    </row>
    <row r="264" spans="1:8" ht="13">
      <c r="A264" s="96" t="s">
        <v>1066</v>
      </c>
      <c r="B264" s="96" t="s">
        <v>1341</v>
      </c>
      <c r="C264" s="96">
        <v>19</v>
      </c>
      <c r="D264" s="96" t="s">
        <v>1348</v>
      </c>
      <c r="E264" s="96" t="str">
        <f t="shared" si="1"/>
        <v>Programming part 4 - Subroutines::19::Use trace tables to investigate functions</v>
      </c>
      <c r="F264" s="96" t="s">
        <v>954</v>
      </c>
      <c r="G264" s="96" t="s">
        <v>234</v>
      </c>
      <c r="H264" s="96" t="s">
        <v>96</v>
      </c>
    </row>
    <row r="265" spans="1:8" ht="13">
      <c r="A265" s="96" t="s">
        <v>1066</v>
      </c>
      <c r="B265" s="96" t="s">
        <v>1341</v>
      </c>
      <c r="C265" s="96">
        <v>19</v>
      </c>
      <c r="D265" s="96" t="s">
        <v>1349</v>
      </c>
      <c r="E265" s="96" t="str">
        <f t="shared" si="1"/>
        <v>Programming part 4 - Subroutines::19::Use functions to return values in programs</v>
      </c>
      <c r="F265" s="96" t="s">
        <v>954</v>
      </c>
      <c r="G265" s="96" t="s">
        <v>27</v>
      </c>
      <c r="H265" s="96" t="s">
        <v>96</v>
      </c>
    </row>
    <row r="266" spans="1:8" ht="13">
      <c r="A266" s="96" t="s">
        <v>1066</v>
      </c>
      <c r="B266" s="96" t="s">
        <v>1341</v>
      </c>
      <c r="C266" s="96">
        <v>20</v>
      </c>
      <c r="D266" s="96" t="s">
        <v>1350</v>
      </c>
      <c r="E266" s="96" t="str">
        <f t="shared" si="1"/>
        <v>Programming part 4 - Subroutines::20::Describe scope of variables</v>
      </c>
      <c r="F266" s="96" t="s">
        <v>954</v>
      </c>
      <c r="G266" s="96" t="s">
        <v>27</v>
      </c>
      <c r="H266" s="96" t="s">
        <v>96</v>
      </c>
    </row>
    <row r="267" spans="1:8" ht="13">
      <c r="A267" s="96" t="s">
        <v>1066</v>
      </c>
      <c r="B267" s="96" t="s">
        <v>1341</v>
      </c>
      <c r="C267" s="96">
        <v>20</v>
      </c>
      <c r="D267" s="96" t="s">
        <v>1351</v>
      </c>
      <c r="E267" s="96" t="str">
        <f t="shared" si="1"/>
        <v>Programming part 4 - Subroutines::20::Describe how parameters can reduce the need for global variables</v>
      </c>
      <c r="F267" s="96" t="s">
        <v>954</v>
      </c>
      <c r="G267" s="96" t="s">
        <v>27</v>
      </c>
      <c r="H267" s="96" t="s">
        <v>96</v>
      </c>
    </row>
    <row r="268" spans="1:8" ht="13">
      <c r="A268" s="96" t="s">
        <v>1066</v>
      </c>
      <c r="B268" s="96" t="s">
        <v>1341</v>
      </c>
      <c r="C268" s="96">
        <v>20</v>
      </c>
      <c r="D268" s="96" t="s">
        <v>1352</v>
      </c>
      <c r="E268" s="96" t="str">
        <f t="shared" si="1"/>
        <v>Programming part 4 - Subroutines::20::Identify when to use global variables</v>
      </c>
      <c r="F268" s="96" t="s">
        <v>954</v>
      </c>
      <c r="G268" s="96" t="s">
        <v>27</v>
      </c>
      <c r="H268" s="96" t="s">
        <v>96</v>
      </c>
    </row>
    <row r="269" spans="1:8" ht="13">
      <c r="A269" s="96" t="s">
        <v>1066</v>
      </c>
      <c r="B269" s="96" t="s">
        <v>1341</v>
      </c>
      <c r="C269" s="96">
        <v>20</v>
      </c>
      <c r="D269" s="96" t="s">
        <v>1353</v>
      </c>
      <c r="E269" s="96" t="str">
        <f t="shared" si="1"/>
        <v>Programming part 4 - Subroutines::20::Describe a constant</v>
      </c>
      <c r="F269" s="96" t="s">
        <v>954</v>
      </c>
      <c r="G269" s="96" t="s">
        <v>27</v>
      </c>
      <c r="H269" s="96" t="s">
        <v>96</v>
      </c>
    </row>
    <row r="270" spans="1:8" ht="13">
      <c r="A270" s="96" t="s">
        <v>1066</v>
      </c>
      <c r="B270" s="96" t="s">
        <v>1341</v>
      </c>
      <c r="C270" s="96">
        <v>21</v>
      </c>
      <c r="D270" s="96" t="s">
        <v>1354</v>
      </c>
      <c r="E270" s="96" t="str">
        <f t="shared" si="1"/>
        <v>Programming part 4 - Subroutines::21::Use a truth table</v>
      </c>
      <c r="F270" s="96" t="s">
        <v>954</v>
      </c>
      <c r="G270" s="96" t="s">
        <v>234</v>
      </c>
      <c r="H270" s="96" t="s">
        <v>96</v>
      </c>
    </row>
    <row r="271" spans="1:8" ht="13">
      <c r="A271" s="96" t="s">
        <v>1066</v>
      </c>
      <c r="B271" s="96" t="s">
        <v>1341</v>
      </c>
      <c r="C271" s="96">
        <v>21</v>
      </c>
      <c r="D271" s="96" t="s">
        <v>1355</v>
      </c>
      <c r="E271" s="96" t="str">
        <f t="shared" si="1"/>
        <v>Programming part 4 - Subroutines::21::Describe the function of an XOR operator</v>
      </c>
      <c r="F271" s="96" t="s">
        <v>954</v>
      </c>
      <c r="G271" s="96" t="s">
        <v>24</v>
      </c>
      <c r="H271" s="96" t="s">
        <v>96</v>
      </c>
    </row>
    <row r="272" spans="1:8" ht="13">
      <c r="A272" s="96" t="s">
        <v>1066</v>
      </c>
      <c r="B272" s="96" t="s">
        <v>1341</v>
      </c>
      <c r="C272" s="96">
        <v>21</v>
      </c>
      <c r="D272" s="96" t="s">
        <v>1356</v>
      </c>
      <c r="E272" s="96" t="str">
        <f t="shared" si="1"/>
        <v>Programming part 4 - Subroutines::21::Design and create a function for an XOR operator</v>
      </c>
      <c r="F272" s="96" t="s">
        <v>954</v>
      </c>
      <c r="G272" s="96" t="s">
        <v>166</v>
      </c>
      <c r="H272" s="96" t="s">
        <v>96</v>
      </c>
    </row>
    <row r="273" spans="1:8" ht="13">
      <c r="A273" s="96" t="s">
        <v>1066</v>
      </c>
      <c r="B273" s="96" t="s">
        <v>1341</v>
      </c>
      <c r="C273" s="96">
        <v>22</v>
      </c>
      <c r="D273" s="96" t="s">
        <v>1357</v>
      </c>
      <c r="E273" s="96" t="str">
        <f t="shared" si="1"/>
        <v>Programming part 4 - Subroutines::22::Describe the structured approach to programming</v>
      </c>
      <c r="F273" s="96" t="s">
        <v>954</v>
      </c>
      <c r="G273" s="96" t="s">
        <v>27</v>
      </c>
      <c r="H273" s="96" t="s">
        <v>96</v>
      </c>
    </row>
    <row r="274" spans="1:8" ht="13">
      <c r="A274" s="96" t="s">
        <v>1066</v>
      </c>
      <c r="B274" s="96" t="s">
        <v>1341</v>
      </c>
      <c r="C274" s="96">
        <v>22</v>
      </c>
      <c r="D274" s="96" t="s">
        <v>1358</v>
      </c>
      <c r="E274" s="96" t="str">
        <f t="shared" si="1"/>
        <v>Programming part 4 - Subroutines::22::Explain the advantages of the structured approach</v>
      </c>
      <c r="F274" s="96" t="s">
        <v>954</v>
      </c>
      <c r="G274" s="96" t="s">
        <v>27</v>
      </c>
      <c r="H274" s="96" t="s">
        <v>96</v>
      </c>
    </row>
    <row r="275" spans="1:8" ht="13">
      <c r="A275" s="96" t="s">
        <v>1066</v>
      </c>
      <c r="B275" s="96" t="s">
        <v>1341</v>
      </c>
      <c r="C275" s="96">
        <v>22</v>
      </c>
      <c r="D275" s="96" t="s">
        <v>1359</v>
      </c>
      <c r="E275" s="96" t="str">
        <f t="shared" si="1"/>
        <v>Programming part 4 - Subroutines::22::Use the structured approach in programming</v>
      </c>
      <c r="F275" s="96" t="s">
        <v>954</v>
      </c>
      <c r="G275" s="96" t="s">
        <v>27</v>
      </c>
      <c r="H275" s="96" t="s">
        <v>96</v>
      </c>
    </row>
    <row r="276" spans="1:8" ht="13">
      <c r="A276" s="96" t="s">
        <v>1066</v>
      </c>
      <c r="B276" s="96" t="s">
        <v>1341</v>
      </c>
      <c r="C276" s="96">
        <v>23</v>
      </c>
      <c r="D276" s="96" t="s">
        <v>1360</v>
      </c>
      <c r="E276" s="96" t="str">
        <f t="shared" si="1"/>
        <v>Programming part 4 - Subroutines::23::Describe iterative testing</v>
      </c>
      <c r="F276" s="96" t="s">
        <v>954</v>
      </c>
      <c r="G276" s="96" t="s">
        <v>27</v>
      </c>
      <c r="H276" s="96" t="s">
        <v>96</v>
      </c>
    </row>
    <row r="277" spans="1:8" ht="13">
      <c r="A277" s="96" t="s">
        <v>1066</v>
      </c>
      <c r="B277" s="96" t="s">
        <v>1341</v>
      </c>
      <c r="C277" s="96">
        <v>23</v>
      </c>
      <c r="D277" s="96" t="s">
        <v>1361</v>
      </c>
      <c r="E277" s="96" t="str">
        <f t="shared" si="1"/>
        <v>Programming part 4 - Subroutines::23::Describe the types of testing (erroneous, boundary, normal)</v>
      </c>
      <c r="F277" s="96" t="s">
        <v>954</v>
      </c>
      <c r="G277" s="96" t="s">
        <v>27</v>
      </c>
      <c r="H277" s="96" t="s">
        <v>96</v>
      </c>
    </row>
    <row r="278" spans="1:8" ht="13">
      <c r="A278" s="96" t="s">
        <v>1066</v>
      </c>
      <c r="B278" s="96" t="s">
        <v>1341</v>
      </c>
      <c r="C278" s="96">
        <v>23</v>
      </c>
      <c r="D278" s="96" t="s">
        <v>1362</v>
      </c>
      <c r="E278" s="96" t="str">
        <f t="shared" si="1"/>
        <v>Programming part 4 - Subroutines::23::Design and create a program</v>
      </c>
      <c r="F278" s="96" t="s">
        <v>954</v>
      </c>
      <c r="G278" s="96" t="s">
        <v>166</v>
      </c>
      <c r="H278" s="96" t="s">
        <v>96</v>
      </c>
    </row>
    <row r="279" spans="1:8" ht="13">
      <c r="A279" s="96" t="s">
        <v>1066</v>
      </c>
      <c r="B279" s="96" t="s">
        <v>1363</v>
      </c>
      <c r="C279" s="96">
        <v>25</v>
      </c>
      <c r="D279" s="96" t="s">
        <v>1364</v>
      </c>
      <c r="E279" s="96" t="str">
        <f t="shared" si="1"/>
        <v>Programming part 5 - Strings and lists::25::Define the term GUI</v>
      </c>
      <c r="F279" s="96" t="s">
        <v>954</v>
      </c>
      <c r="G279" s="96" t="s">
        <v>496</v>
      </c>
      <c r="H279" s="96" t="s">
        <v>96</v>
      </c>
    </row>
    <row r="280" spans="1:8" ht="13">
      <c r="A280" s="96" t="s">
        <v>1066</v>
      </c>
      <c r="B280" s="96" t="s">
        <v>1363</v>
      </c>
      <c r="C280" s="96">
        <v>25</v>
      </c>
      <c r="D280" s="96" t="s">
        <v>1365</v>
      </c>
      <c r="E280" s="96" t="str">
        <f t="shared" si="1"/>
        <v>Programming part 5 - Strings and lists::25::Import third-party libraries</v>
      </c>
      <c r="F280" s="96" t="s">
        <v>954</v>
      </c>
      <c r="G280" s="96" t="s">
        <v>318</v>
      </c>
      <c r="H280" s="96" t="s">
        <v>96</v>
      </c>
    </row>
    <row r="281" spans="1:8" ht="13">
      <c r="A281" s="96" t="s">
        <v>1066</v>
      </c>
      <c r="B281" s="96" t="s">
        <v>1363</v>
      </c>
      <c r="C281" s="96">
        <v>25</v>
      </c>
      <c r="D281" s="96" t="s">
        <v>1366</v>
      </c>
      <c r="E281" s="96" t="str">
        <f t="shared" si="1"/>
        <v>Programming part 5 - Strings and lists::25::Use guizero to create an event-driven program that uses a GUI</v>
      </c>
      <c r="F281" s="96" t="s">
        <v>954</v>
      </c>
      <c r="G281" s="96" t="s">
        <v>318</v>
      </c>
      <c r="H281" s="96" t="s">
        <v>96</v>
      </c>
    </row>
    <row r="282" spans="1:8" ht="13">
      <c r="A282" s="96" t="s">
        <v>1066</v>
      </c>
      <c r="B282" s="96" t="s">
        <v>1363</v>
      </c>
      <c r="C282" s="96">
        <v>26</v>
      </c>
      <c r="D282" s="96" t="s">
        <v>1367</v>
      </c>
      <c r="E282" s="96" t="str">
        <f t="shared" si="1"/>
        <v>Programming part 5 - Strings and lists::26::Describe the function of string operators</v>
      </c>
      <c r="F282" s="96" t="s">
        <v>954</v>
      </c>
      <c r="G282" s="96" t="s">
        <v>27</v>
      </c>
      <c r="H282" s="96" t="s">
        <v>96</v>
      </c>
    </row>
    <row r="283" spans="1:8" ht="13">
      <c r="A283" s="96" t="s">
        <v>1066</v>
      </c>
      <c r="B283" s="96" t="s">
        <v>1363</v>
      </c>
      <c r="C283" s="96">
        <v>26</v>
      </c>
      <c r="D283" s="96" t="s">
        <v>1368</v>
      </c>
      <c r="E283" s="96" t="str">
        <f t="shared" si="1"/>
        <v>Programming part 5 - Strings and lists::26::Use string handling techniques</v>
      </c>
      <c r="F283" s="96" t="s">
        <v>954</v>
      </c>
      <c r="G283" s="96" t="s">
        <v>27</v>
      </c>
      <c r="H283" s="96" t="s">
        <v>96</v>
      </c>
    </row>
    <row r="284" spans="1:8" ht="13">
      <c r="A284" s="96" t="s">
        <v>1066</v>
      </c>
      <c r="B284" s="96" t="s">
        <v>1363</v>
      </c>
      <c r="C284" s="96">
        <v>26</v>
      </c>
      <c r="D284" s="96" t="s">
        <v>1369</v>
      </c>
      <c r="E284" s="96" t="str">
        <f t="shared" si="1"/>
        <v>Programming part 5 - Strings and lists::26::Use for loops with string operations</v>
      </c>
      <c r="F284" s="96" t="s">
        <v>954</v>
      </c>
      <c r="G284" s="96" t="s">
        <v>27</v>
      </c>
      <c r="H284" s="96" t="s">
        <v>96</v>
      </c>
    </row>
    <row r="285" spans="1:8" ht="13">
      <c r="A285" s="96" t="s">
        <v>1066</v>
      </c>
      <c r="B285" s="96" t="s">
        <v>1363</v>
      </c>
      <c r="C285" s="96">
        <v>27</v>
      </c>
      <c r="D285" s="96" t="s">
        <v>1370</v>
      </c>
      <c r="E285" s="96" t="str">
        <f t="shared" si="1"/>
        <v>Programming part 5 - Strings and lists::27::Use a substring in a program</v>
      </c>
      <c r="F285" s="96" t="s">
        <v>954</v>
      </c>
      <c r="G285" s="96" t="s">
        <v>27</v>
      </c>
      <c r="H285" s="96" t="s">
        <v>96</v>
      </c>
    </row>
    <row r="286" spans="1:8" ht="13">
      <c r="A286" s="96" t="s">
        <v>1066</v>
      </c>
      <c r="B286" s="96" t="s">
        <v>1363</v>
      </c>
      <c r="C286" s="96">
        <v>27</v>
      </c>
      <c r="D286" s="96" t="s">
        <v>1371</v>
      </c>
      <c r="E286" s="96" t="str">
        <f t="shared" si="1"/>
        <v>Programming part 5 - Strings and lists::27::Use the in operator to check for a substring</v>
      </c>
      <c r="F286" s="96" t="s">
        <v>954</v>
      </c>
      <c r="G286" s="96" t="s">
        <v>27</v>
      </c>
      <c r="H286" s="96" t="s">
        <v>96</v>
      </c>
    </row>
    <row r="287" spans="1:8" ht="13">
      <c r="A287" s="96" t="s">
        <v>1066</v>
      </c>
      <c r="B287" s="96" t="s">
        <v>1363</v>
      </c>
      <c r="C287" s="96">
        <v>27</v>
      </c>
      <c r="D287" s="96" t="s">
        <v>1372</v>
      </c>
      <c r="E287" s="96" t="str">
        <f t="shared" si="1"/>
        <v>Programming part 5 - Strings and lists::27::Use chr() and ord() to perform ASCII conversions</v>
      </c>
      <c r="F287" s="96" t="s">
        <v>954</v>
      </c>
      <c r="G287" s="96" t="s">
        <v>905</v>
      </c>
      <c r="H287" s="96" t="s">
        <v>96</v>
      </c>
    </row>
    <row r="288" spans="1:8" ht="13">
      <c r="A288" s="96" t="s">
        <v>1066</v>
      </c>
      <c r="B288" s="96" t="s">
        <v>1363</v>
      </c>
      <c r="C288" s="96">
        <v>28</v>
      </c>
      <c r="D288" s="96" t="s">
        <v>1373</v>
      </c>
      <c r="E288" s="96" t="str">
        <f t="shared" si="1"/>
        <v>Programming part 5 - Strings and lists::28::Create a program that uses string handling techniques</v>
      </c>
      <c r="F288" s="96" t="s">
        <v>954</v>
      </c>
      <c r="G288" s="96" t="s">
        <v>27</v>
      </c>
      <c r="H288" s="96" t="s">
        <v>96</v>
      </c>
    </row>
    <row r="289" spans="1:8" ht="13">
      <c r="A289" s="96" t="s">
        <v>1066</v>
      </c>
      <c r="B289" s="96" t="s">
        <v>1363</v>
      </c>
      <c r="C289" s="96">
        <v>29</v>
      </c>
      <c r="D289" s="96" t="s">
        <v>1374</v>
      </c>
      <c r="E289" s="96" t="str">
        <f t="shared" si="1"/>
        <v>Programming part 5 - Strings and lists::29::Define a data structure</v>
      </c>
      <c r="F289" s="96" t="s">
        <v>954</v>
      </c>
      <c r="G289" s="96" t="s">
        <v>905</v>
      </c>
      <c r="H289" s="96" t="s">
        <v>96</v>
      </c>
    </row>
    <row r="290" spans="1:8" ht="13">
      <c r="A290" s="96" t="s">
        <v>1066</v>
      </c>
      <c r="B290" s="96" t="s">
        <v>1363</v>
      </c>
      <c r="C290" s="96">
        <v>29</v>
      </c>
      <c r="D290" s="96" t="s">
        <v>1375</v>
      </c>
      <c r="E290" s="96" t="str">
        <f t="shared" si="1"/>
        <v>Programming part 5 - Strings and lists::29::Define a list and an array</v>
      </c>
      <c r="F290" s="96" t="s">
        <v>954</v>
      </c>
      <c r="G290" s="96" t="s">
        <v>905</v>
      </c>
      <c r="H290" s="96" t="s">
        <v>96</v>
      </c>
    </row>
    <row r="291" spans="1:8" ht="13">
      <c r="A291" s="96" t="s">
        <v>1066</v>
      </c>
      <c r="B291" s="96" t="s">
        <v>1363</v>
      </c>
      <c r="C291" s="96">
        <v>29</v>
      </c>
      <c r="D291" s="96" t="s">
        <v>1376</v>
      </c>
      <c r="E291" s="96" t="str">
        <f t="shared" si="1"/>
        <v>Programming part 5 - Strings and lists::29::Describe the differences between lists and arrays</v>
      </c>
      <c r="F291" s="96" t="s">
        <v>954</v>
      </c>
      <c r="G291" s="96" t="s">
        <v>905</v>
      </c>
      <c r="H291" s="96" t="s">
        <v>96</v>
      </c>
    </row>
    <row r="292" spans="1:8" ht="13">
      <c r="A292" s="96" t="s">
        <v>1066</v>
      </c>
      <c r="B292" s="96" t="s">
        <v>1363</v>
      </c>
      <c r="C292" s="96">
        <v>29</v>
      </c>
      <c r="D292" s="96" t="s">
        <v>1377</v>
      </c>
      <c r="E292" s="96" t="str">
        <f t="shared" si="1"/>
        <v>Programming part 5 - Strings and lists::29::Use a list in a program</v>
      </c>
      <c r="F292" s="96" t="s">
        <v>954</v>
      </c>
      <c r="G292" s="96" t="s">
        <v>27</v>
      </c>
      <c r="H292" s="96" t="s">
        <v>96</v>
      </c>
    </row>
    <row r="293" spans="1:8" ht="13">
      <c r="A293" s="96" t="s">
        <v>1066</v>
      </c>
      <c r="B293" s="96" t="s">
        <v>1363</v>
      </c>
      <c r="C293" s="96">
        <v>29</v>
      </c>
      <c r="D293" s="96" t="s">
        <v>1378</v>
      </c>
      <c r="E293" s="96" t="str">
        <f t="shared" si="1"/>
        <v>Programming part 5 - Strings and lists::29::Append to a list</v>
      </c>
      <c r="F293" s="96" t="s">
        <v>954</v>
      </c>
      <c r="G293" s="96" t="s">
        <v>27</v>
      </c>
      <c r="H293" s="96" t="s">
        <v>96</v>
      </c>
    </row>
    <row r="294" spans="1:8" ht="13">
      <c r="A294" s="96" t="s">
        <v>1066</v>
      </c>
      <c r="B294" s="96" t="s">
        <v>1363</v>
      </c>
      <c r="C294" s="96">
        <v>30</v>
      </c>
      <c r="D294" s="96" t="s">
        <v>1379</v>
      </c>
      <c r="E294" s="96" t="str">
        <f t="shared" si="1"/>
        <v>Programming part 5 - Strings and lists::30::Traverse a list of elements</v>
      </c>
      <c r="F294" s="96" t="s">
        <v>954</v>
      </c>
      <c r="G294" s="96" t="s">
        <v>898</v>
      </c>
      <c r="H294" s="96" t="s">
        <v>96</v>
      </c>
    </row>
    <row r="295" spans="1:8" ht="13">
      <c r="A295" s="96" t="s">
        <v>1066</v>
      </c>
      <c r="B295" s="96" t="s">
        <v>1363</v>
      </c>
      <c r="C295" s="96">
        <v>30</v>
      </c>
      <c r="D295" s="96" t="s">
        <v>1380</v>
      </c>
      <c r="E295" s="96" t="str">
        <f t="shared" si="1"/>
        <v>Programming part 5 - Strings and lists::30::Use list methods</v>
      </c>
      <c r="F295" s="96" t="s">
        <v>954</v>
      </c>
      <c r="G295" s="96" t="s">
        <v>27</v>
      </c>
      <c r="H295" s="96" t="s">
        <v>96</v>
      </c>
    </row>
    <row r="296" spans="1:8" ht="13">
      <c r="A296" s="96" t="s">
        <v>1066</v>
      </c>
      <c r="B296" s="96" t="s">
        <v>1363</v>
      </c>
      <c r="C296" s="96">
        <v>30</v>
      </c>
      <c r="D296" s="96" t="s">
        <v>1381</v>
      </c>
      <c r="E296" s="96" t="str">
        <f t="shared" si="1"/>
        <v>Programming part 5 - Strings and lists::30::Create a function that returns a list</v>
      </c>
      <c r="F296" s="96" t="s">
        <v>954</v>
      </c>
      <c r="G296" s="96" t="s">
        <v>27</v>
      </c>
      <c r="H296" s="96" t="s">
        <v>96</v>
      </c>
    </row>
    <row r="297" spans="1:8" ht="13">
      <c r="A297" s="96" t="s">
        <v>1066</v>
      </c>
      <c r="B297" s="96" t="s">
        <v>1363</v>
      </c>
      <c r="C297" s="96">
        <v>30</v>
      </c>
      <c r="D297" s="96" t="s">
        <v>1382</v>
      </c>
      <c r="E297" s="96" t="str">
        <f t="shared" si="1"/>
        <v>Programming part 5 - Strings and lists::30::Import custom built functions</v>
      </c>
      <c r="F297" s="96" t="s">
        <v>954</v>
      </c>
      <c r="G297" s="96" t="s">
        <v>27</v>
      </c>
      <c r="H297" s="96" t="s">
        <v>96</v>
      </c>
    </row>
    <row r="298" spans="1:8" ht="13">
      <c r="A298" s="96" t="s">
        <v>1066</v>
      </c>
      <c r="B298" s="96" t="s">
        <v>1363</v>
      </c>
      <c r="C298" s="96">
        <v>31</v>
      </c>
      <c r="D298" s="96" t="s">
        <v>1383</v>
      </c>
      <c r="E298" s="96" t="str">
        <f t="shared" si="1"/>
        <v>Programming part 5 - Strings and lists::31::Use lists to display output on a physical computing device</v>
      </c>
      <c r="F298" s="96" t="s">
        <v>954</v>
      </c>
      <c r="G298" s="96" t="s">
        <v>496</v>
      </c>
      <c r="H298" s="96" t="s">
        <v>96</v>
      </c>
    </row>
    <row r="299" spans="1:8" ht="13">
      <c r="A299" s="96" t="s">
        <v>1066</v>
      </c>
      <c r="B299" s="96" t="s">
        <v>1363</v>
      </c>
      <c r="C299" s="96">
        <v>32</v>
      </c>
      <c r="D299" s="96" t="s">
        <v>1384</v>
      </c>
      <c r="E299" s="96" t="str">
        <f t="shared" si="1"/>
        <v>Programming part 5 - Strings and lists::32::Use randomisation to append items to a list</v>
      </c>
      <c r="F299" s="96" t="s">
        <v>954</v>
      </c>
      <c r="G299" s="96" t="s">
        <v>27</v>
      </c>
      <c r="H299" s="96" t="s">
        <v>96</v>
      </c>
    </row>
    <row r="300" spans="1:8" ht="13">
      <c r="A300" s="96" t="s">
        <v>1066</v>
      </c>
      <c r="B300" s="96" t="s">
        <v>1363</v>
      </c>
      <c r="C300" s="96">
        <v>33</v>
      </c>
      <c r="D300" s="96" t="s">
        <v>1385</v>
      </c>
      <c r="E300" s="96" t="str">
        <f t="shared" si="1"/>
        <v>Programming part 5 - Strings and lists::33::Define a 2D array and a list</v>
      </c>
      <c r="F300" s="96" t="s">
        <v>954</v>
      </c>
      <c r="G300" s="96" t="s">
        <v>905</v>
      </c>
      <c r="H300" s="96" t="s">
        <v>96</v>
      </c>
    </row>
    <row r="301" spans="1:8" ht="13">
      <c r="A301" s="96" t="s">
        <v>1066</v>
      </c>
      <c r="B301" s="96" t="s">
        <v>1363</v>
      </c>
      <c r="C301" s="96">
        <v>33</v>
      </c>
      <c r="D301" s="96" t="s">
        <v>1386</v>
      </c>
      <c r="E301" s="96" t="str">
        <f t="shared" si="1"/>
        <v>Programming part 5 - Strings and lists::33::Use a 2D list in a program</v>
      </c>
      <c r="F301" s="96" t="s">
        <v>954</v>
      </c>
      <c r="G301" s="96" t="s">
        <v>27</v>
      </c>
      <c r="H301" s="96" t="s">
        <v>96</v>
      </c>
    </row>
    <row r="302" spans="1:8" ht="13">
      <c r="A302" s="96" t="s">
        <v>1066</v>
      </c>
      <c r="B302" s="96" t="s">
        <v>1363</v>
      </c>
      <c r="C302" s="96">
        <v>34</v>
      </c>
      <c r="D302" s="96" t="s">
        <v>1387</v>
      </c>
      <c r="E302" s="96" t="str">
        <f t="shared" si="1"/>
        <v>Programming part 5 - Strings and lists::34::Use a 2D list as part of a programming challenge</v>
      </c>
      <c r="F302" s="96" t="s">
        <v>954</v>
      </c>
      <c r="G302" s="96" t="s">
        <v>27</v>
      </c>
      <c r="H302" s="96" t="s">
        <v>96</v>
      </c>
    </row>
    <row r="303" spans="1:8" ht="13">
      <c r="A303" s="96" t="s">
        <v>1066</v>
      </c>
      <c r="B303" s="96" t="s">
        <v>1388</v>
      </c>
      <c r="C303" s="96">
        <v>36</v>
      </c>
      <c r="D303" s="96" t="s">
        <v>1389</v>
      </c>
      <c r="E303" s="96" t="str">
        <f t="shared" si="1"/>
        <v>Programming part 6 - Dictionaries and datafiles::36::Describe the record data structure</v>
      </c>
      <c r="F303" s="96" t="s">
        <v>954</v>
      </c>
      <c r="G303" s="96" t="s">
        <v>905</v>
      </c>
      <c r="H303" s="96" t="s">
        <v>96</v>
      </c>
    </row>
    <row r="304" spans="1:8" ht="13">
      <c r="A304" s="96" t="s">
        <v>1066</v>
      </c>
      <c r="B304" s="96" t="s">
        <v>1388</v>
      </c>
      <c r="C304" s="96">
        <v>36</v>
      </c>
      <c r="D304" s="96" t="s">
        <v>1390</v>
      </c>
      <c r="E304" s="96" t="str">
        <f t="shared" si="1"/>
        <v>Programming part 6 - Dictionaries and datafiles::36::Use a dictionary to represent a record in a program</v>
      </c>
      <c r="F304" s="96" t="s">
        <v>954</v>
      </c>
      <c r="G304" s="96" t="s">
        <v>905</v>
      </c>
      <c r="H304" s="96" t="s">
        <v>96</v>
      </c>
    </row>
    <row r="305" spans="1:8" ht="13">
      <c r="A305" s="96" t="s">
        <v>1066</v>
      </c>
      <c r="B305" s="96" t="s">
        <v>1388</v>
      </c>
      <c r="C305" s="96">
        <v>36</v>
      </c>
      <c r="D305" s="96" t="s">
        <v>1391</v>
      </c>
      <c r="E305" s="96" t="str">
        <f t="shared" si="1"/>
        <v>Programming part 6 - Dictionaries and datafiles::36::Use a dictionary with a list to represent records in a database</v>
      </c>
      <c r="F305" s="96" t="s">
        <v>954</v>
      </c>
      <c r="G305" s="96" t="s">
        <v>905</v>
      </c>
      <c r="H305" s="96" t="s">
        <v>96</v>
      </c>
    </row>
    <row r="306" spans="1:8" ht="13">
      <c r="A306" s="96" t="s">
        <v>1066</v>
      </c>
      <c r="B306" s="96" t="s">
        <v>1388</v>
      </c>
      <c r="C306" s="96">
        <v>37</v>
      </c>
      <c r="D306" s="96" t="s">
        <v>1392</v>
      </c>
      <c r="E306" s="96" t="str">
        <f t="shared" si="1"/>
        <v>Programming part 6 - Dictionaries and datafiles::37::Describe the dictionary data structure</v>
      </c>
      <c r="F306" s="96" t="s">
        <v>954</v>
      </c>
      <c r="G306" s="96" t="s">
        <v>905</v>
      </c>
      <c r="H306" s="96" t="s">
        <v>96</v>
      </c>
    </row>
    <row r="307" spans="1:8" ht="13">
      <c r="A307" s="96" t="s">
        <v>1066</v>
      </c>
      <c r="B307" s="96" t="s">
        <v>1388</v>
      </c>
      <c r="C307" s="96">
        <v>37</v>
      </c>
      <c r="D307" s="96" t="s">
        <v>1393</v>
      </c>
      <c r="E307" s="96" t="str">
        <f t="shared" si="1"/>
        <v>Programming part 6 - Dictionaries and datafiles::37::Use a dictionary to produce key-value pairs</v>
      </c>
      <c r="F307" s="96" t="s">
        <v>954</v>
      </c>
      <c r="G307" s="96" t="s">
        <v>27</v>
      </c>
      <c r="H307" s="96" t="s">
        <v>96</v>
      </c>
    </row>
    <row r="308" spans="1:8" ht="13">
      <c r="A308" s="96" t="s">
        <v>1066</v>
      </c>
      <c r="B308" s="96" t="s">
        <v>1388</v>
      </c>
      <c r="C308" s="96">
        <v>38</v>
      </c>
      <c r="D308" s="96" t="s">
        <v>1394</v>
      </c>
      <c r="E308" s="96" t="str">
        <f t="shared" si="1"/>
        <v>Programming part 6 - Dictionaries and datafiles::38::Determine the purpose of external data files</v>
      </c>
      <c r="F308" s="96" t="s">
        <v>954</v>
      </c>
      <c r="G308" s="96" t="s">
        <v>722</v>
      </c>
      <c r="H308" s="96" t="s">
        <v>96</v>
      </c>
    </row>
    <row r="309" spans="1:8" ht="13">
      <c r="A309" s="96" t="s">
        <v>1066</v>
      </c>
      <c r="B309" s="96" t="s">
        <v>1388</v>
      </c>
      <c r="C309" s="96">
        <v>38</v>
      </c>
      <c r="D309" s="96" t="s">
        <v>1395</v>
      </c>
      <c r="E309" s="96" t="str">
        <f t="shared" si="1"/>
        <v>Programming part 6 - Dictionaries and datafiles::38::Read data from an external text file</v>
      </c>
      <c r="F309" s="96" t="s">
        <v>954</v>
      </c>
      <c r="G309" s="96" t="s">
        <v>722</v>
      </c>
      <c r="H309" s="96" t="s">
        <v>96</v>
      </c>
    </row>
    <row r="310" spans="1:8" ht="13">
      <c r="A310" s="96" t="s">
        <v>1066</v>
      </c>
      <c r="B310" s="96" t="s">
        <v>1388</v>
      </c>
      <c r="C310" s="96">
        <v>39</v>
      </c>
      <c r="D310" s="96" t="s">
        <v>1396</v>
      </c>
      <c r="E310" s="96" t="str">
        <f t="shared" si="1"/>
        <v>Programming part 6 - Dictionaries and datafiles::39::Write to text files</v>
      </c>
      <c r="F310" s="96" t="s">
        <v>954</v>
      </c>
      <c r="G310" s="96" t="s">
        <v>722</v>
      </c>
      <c r="H310" s="96" t="s">
        <v>96</v>
      </c>
    </row>
    <row r="311" spans="1:8" ht="13">
      <c r="A311" s="96" t="s">
        <v>1066</v>
      </c>
      <c r="B311" s="96" t="s">
        <v>1388</v>
      </c>
      <c r="C311" s="96">
        <v>39</v>
      </c>
      <c r="D311" s="96" t="s">
        <v>1397</v>
      </c>
      <c r="E311" s="96" t="str">
        <f t="shared" si="1"/>
        <v>Programming part 6 - Dictionaries and datafiles::39::Append to text files</v>
      </c>
      <c r="F311" s="96" t="s">
        <v>954</v>
      </c>
      <c r="G311" s="96" t="s">
        <v>722</v>
      </c>
      <c r="H311" s="96" t="s">
        <v>96</v>
      </c>
    </row>
    <row r="312" spans="1:8" ht="13">
      <c r="A312" s="96" t="s">
        <v>1066</v>
      </c>
      <c r="B312" s="96" t="s">
        <v>1388</v>
      </c>
      <c r="C312" s="96">
        <v>40</v>
      </c>
      <c r="D312" s="96" t="s">
        <v>1398</v>
      </c>
      <c r="E312" s="96" t="str">
        <f t="shared" si="1"/>
        <v>Programming part 6 - Dictionaries and datafiles::40::Describe a CSV file</v>
      </c>
      <c r="F312" s="96" t="s">
        <v>954</v>
      </c>
      <c r="G312" s="96" t="s">
        <v>905</v>
      </c>
      <c r="H312" s="96" t="s">
        <v>96</v>
      </c>
    </row>
    <row r="313" spans="1:8" ht="13">
      <c r="A313" s="96" t="s">
        <v>1066</v>
      </c>
      <c r="B313" s="96" t="s">
        <v>1388</v>
      </c>
      <c r="C313" s="96">
        <v>40</v>
      </c>
      <c r="D313" s="96" t="s">
        <v>1399</v>
      </c>
      <c r="E313" s="96" t="str">
        <f t="shared" si="1"/>
        <v>Programming part 6 - Dictionaries and datafiles::40::Read from a CSV file</v>
      </c>
      <c r="F313" s="96" t="s">
        <v>954</v>
      </c>
      <c r="G313" s="96" t="s">
        <v>722</v>
      </c>
      <c r="H313" s="96" t="s">
        <v>96</v>
      </c>
    </row>
    <row r="314" spans="1:8" ht="13">
      <c r="A314" s="96" t="s">
        <v>1066</v>
      </c>
      <c r="B314" s="96" t="s">
        <v>1388</v>
      </c>
      <c r="C314" s="96">
        <v>40</v>
      </c>
      <c r="D314" s="96" t="s">
        <v>1400</v>
      </c>
      <c r="E314" s="96" t="str">
        <f t="shared" si="1"/>
        <v>Programming part 6 - Dictionaries and datafiles::40::Use the split() method</v>
      </c>
      <c r="F314" s="96" t="s">
        <v>954</v>
      </c>
      <c r="G314" s="96" t="s">
        <v>27</v>
      </c>
      <c r="H314" s="96" t="s">
        <v>96</v>
      </c>
    </row>
    <row r="315" spans="1:8" ht="13">
      <c r="A315" s="96" t="s">
        <v>1066</v>
      </c>
      <c r="B315" s="96" t="s">
        <v>1388</v>
      </c>
      <c r="C315" s="96">
        <v>40</v>
      </c>
      <c r="D315" s="96" t="s">
        <v>1401</v>
      </c>
      <c r="E315" s="96" t="str">
        <f t="shared" si="1"/>
        <v>Programming part 6 - Dictionaries and datafiles::40::Select data from a collection of values</v>
      </c>
      <c r="F315" s="96" t="s">
        <v>954</v>
      </c>
      <c r="G315" s="96" t="s">
        <v>905</v>
      </c>
      <c r="H315" s="96" t="s">
        <v>96</v>
      </c>
    </row>
    <row r="316" spans="1:8" ht="13">
      <c r="A316" s="96" t="s">
        <v>1066</v>
      </c>
      <c r="B316" s="96" t="s">
        <v>1388</v>
      </c>
      <c r="C316" s="96">
        <v>41</v>
      </c>
      <c r="D316" s="96" t="s">
        <v>1402</v>
      </c>
      <c r="E316" s="96" t="str">
        <f t="shared" si="1"/>
        <v>Programming part 6 - Dictionaries and datafiles::41::Write data from a 1D list to a CSV file</v>
      </c>
      <c r="F316" s="96" t="s">
        <v>954</v>
      </c>
      <c r="G316" s="96" t="s">
        <v>722</v>
      </c>
      <c r="H316" s="96" t="s">
        <v>96</v>
      </c>
    </row>
    <row r="317" spans="1:8" ht="13">
      <c r="A317" s="96" t="s">
        <v>1066</v>
      </c>
      <c r="B317" s="96" t="s">
        <v>1388</v>
      </c>
      <c r="C317" s="96">
        <v>41</v>
      </c>
      <c r="D317" s="96" t="s">
        <v>1403</v>
      </c>
      <c r="E317" s="96" t="str">
        <f t="shared" si="1"/>
        <v>Programming part 6 - Dictionaries and datafiles::41::Write data from a 2D list to a CSV file</v>
      </c>
      <c r="F317" s="96" t="s">
        <v>954</v>
      </c>
      <c r="G317" s="96" t="s">
        <v>722</v>
      </c>
      <c r="H317" s="96" t="s">
        <v>96</v>
      </c>
    </row>
    <row r="318" spans="1:8" ht="13">
      <c r="A318" s="96" t="s">
        <v>1066</v>
      </c>
      <c r="B318" s="96" t="s">
        <v>1388</v>
      </c>
      <c r="C318" s="96">
        <v>42</v>
      </c>
      <c r="D318" s="96" t="s">
        <v>1404</v>
      </c>
      <c r="E318" s="96" t="str">
        <f t="shared" si="1"/>
        <v>Programming part 6 - Dictionaries and datafiles::42::Determine the good habits of a programmer</v>
      </c>
      <c r="F318" s="96" t="s">
        <v>954</v>
      </c>
      <c r="G318" s="96" t="s">
        <v>790</v>
      </c>
      <c r="H318" s="96" t="s">
        <v>96</v>
      </c>
    </row>
    <row r="319" spans="1:8" ht="13">
      <c r="A319" s="96" t="s">
        <v>1066</v>
      </c>
      <c r="B319" s="96" t="s">
        <v>1388</v>
      </c>
      <c r="C319" s="96">
        <v>42</v>
      </c>
      <c r="D319" s="96" t="s">
        <v>1405</v>
      </c>
      <c r="E319" s="96" t="str">
        <f t="shared" si="1"/>
        <v>Programming part 6 - Dictionaries and datafiles::42::Explore alternative approaches to programming solutions</v>
      </c>
      <c r="F319" s="96" t="s">
        <v>954</v>
      </c>
      <c r="G319" s="96" t="s">
        <v>313</v>
      </c>
      <c r="H319" s="96" t="s">
        <v>96</v>
      </c>
    </row>
    <row r="320" spans="1:8" ht="13">
      <c r="A320" s="96" t="s">
        <v>1066</v>
      </c>
      <c r="B320" s="96" t="s">
        <v>1388</v>
      </c>
      <c r="C320" s="96">
        <v>42</v>
      </c>
      <c r="D320" s="96" t="s">
        <v>1406</v>
      </c>
      <c r="E320" s="96" t="str">
        <f t="shared" si="1"/>
        <v>Programming part 6 - Dictionaries and datafiles::42::Append to a CSV file</v>
      </c>
      <c r="F320" s="96" t="s">
        <v>954</v>
      </c>
      <c r="G320" s="96" t="s">
        <v>722</v>
      </c>
      <c r="H320" s="96" t="s">
        <v>96</v>
      </c>
    </row>
    <row r="321" spans="1:8" ht="13">
      <c r="A321" s="96" t="s">
        <v>1066</v>
      </c>
      <c r="B321" s="96" t="s">
        <v>1388</v>
      </c>
      <c r="C321" s="96">
        <v>43</v>
      </c>
      <c r="D321" s="96" t="s">
        <v>1407</v>
      </c>
      <c r="E321" s="96" t="str">
        <f t="shared" si="1"/>
        <v>Programming part 6 - Dictionaries and datafiles::43::Write success criteria for a challenging project</v>
      </c>
      <c r="F321" s="96" t="s">
        <v>954</v>
      </c>
      <c r="G321" s="96" t="s">
        <v>163</v>
      </c>
      <c r="H321" s="96" t="s">
        <v>96</v>
      </c>
    </row>
    <row r="322" spans="1:8" ht="13">
      <c r="A322" s="96" t="s">
        <v>1066</v>
      </c>
      <c r="B322" s="96" t="s">
        <v>1388</v>
      </c>
      <c r="C322" s="96">
        <v>44</v>
      </c>
      <c r="D322" s="96" t="s">
        <v>1408</v>
      </c>
      <c r="E322" s="96" t="str">
        <f t="shared" si="1"/>
        <v>Programming part 6 - Dictionaries and datafiles::44::Design the program for a challenging project using flowchart or pseudocode</v>
      </c>
      <c r="F322" s="96" t="s">
        <v>954</v>
      </c>
      <c r="G322" s="96" t="s">
        <v>166</v>
      </c>
      <c r="H322" s="96" t="s">
        <v>96</v>
      </c>
    </row>
    <row r="323" spans="1:8" ht="13">
      <c r="A323" s="96" t="s">
        <v>1066</v>
      </c>
      <c r="B323" s="96" t="s">
        <v>1388</v>
      </c>
      <c r="C323" s="96">
        <v>45</v>
      </c>
      <c r="D323" s="96" t="s">
        <v>1409</v>
      </c>
      <c r="E323" s="96" t="str">
        <f t="shared" si="1"/>
        <v>Programming part 6 - Dictionaries and datafiles::45::Create the solution for the battle boats program</v>
      </c>
      <c r="F323" s="96" t="s">
        <v>954</v>
      </c>
      <c r="G323" s="96" t="s">
        <v>27</v>
      </c>
      <c r="H323" s="96" t="s">
        <v>96</v>
      </c>
    </row>
    <row r="324" spans="1:8" ht="13">
      <c r="A324" s="96" t="s">
        <v>1066</v>
      </c>
      <c r="B324" s="96" t="s">
        <v>1388</v>
      </c>
      <c r="C324" s="96">
        <v>49</v>
      </c>
      <c r="D324" s="96" t="s">
        <v>1410</v>
      </c>
      <c r="E324" s="96" t="str">
        <f t="shared" si="1"/>
        <v>Programming part 6 - Dictionaries and datafiles::49::Perform final testing of the solution to a challenging problem</v>
      </c>
      <c r="F324" s="96" t="s">
        <v>954</v>
      </c>
      <c r="G324" s="96" t="s">
        <v>163</v>
      </c>
      <c r="H324" s="96" t="s">
        <v>96</v>
      </c>
    </row>
    <row r="325" spans="1:8" ht="13">
      <c r="A325" s="96" t="s">
        <v>1066</v>
      </c>
      <c r="B325" s="96" t="s">
        <v>1388</v>
      </c>
      <c r="C325" s="96">
        <v>50</v>
      </c>
      <c r="D325" s="96" t="s">
        <v>1411</v>
      </c>
      <c r="E325" s="96" t="str">
        <f t="shared" si="1"/>
        <v>Programming part 6 - Dictionaries and datafiles::50::Evaluate a challenging program</v>
      </c>
      <c r="F325" s="96" t="s">
        <v>954</v>
      </c>
      <c r="G325" s="96" t="s">
        <v>163</v>
      </c>
      <c r="H325" s="96"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Curriculum Map (KS4)</vt:lpstr>
      <vt:lpstr>KS4 (Non GCSE)</vt:lpstr>
      <vt:lpstr>KS1 (1)</vt:lpstr>
      <vt:lpstr>KS2 (1)</vt:lpstr>
      <vt:lpstr>KS3 (1)</vt:lpstr>
      <vt:lpstr>KS4</vt:lpstr>
      <vt:lpstr>GCSE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2023-03-10T14:19:30Z</dcterms:modified>
</cp:coreProperties>
</file>